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grube\Desktop\"/>
    </mc:Choice>
  </mc:AlternateContent>
  <bookViews>
    <workbookView xWindow="210" yWindow="-165" windowWidth="15420" windowHeight="10680" tabRatio="837"/>
  </bookViews>
  <sheets>
    <sheet name="SFRB" sheetId="13" r:id="rId1"/>
    <sheet name="STUDENT FEE CALCULATION" sheetId="14" r:id="rId2"/>
    <sheet name="Sheet1" sheetId="15" r:id="rId3"/>
  </sheets>
  <definedNames>
    <definedName name="_xlnm.Print_Area" localSheetId="0">SFRB!$A$1:$H$65</definedName>
  </definedNames>
  <calcPr calcId="162913"/>
</workbook>
</file>

<file path=xl/calcChain.xml><?xml version="1.0" encoding="utf-8"?>
<calcChain xmlns="http://schemas.openxmlformats.org/spreadsheetml/2006/main">
  <c r="E11" i="15" l="1"/>
  <c r="F11" i="15" s="1"/>
  <c r="E12" i="15"/>
  <c r="F12" i="15" s="1"/>
  <c r="G12" i="15"/>
  <c r="J12" i="15"/>
  <c r="L12" i="15" s="1"/>
  <c r="E13" i="15"/>
  <c r="J13" i="15" s="1"/>
  <c r="E14" i="15"/>
  <c r="G14" i="15" s="1"/>
  <c r="E15" i="15"/>
  <c r="F15" i="15" s="1"/>
  <c r="J15" i="15"/>
  <c r="K15" i="15" s="1"/>
  <c r="E16" i="15"/>
  <c r="F16" i="15" s="1"/>
  <c r="J16" i="15"/>
  <c r="L16" i="15" s="1"/>
  <c r="E17" i="15"/>
  <c r="J17" i="15" s="1"/>
  <c r="G17" i="15"/>
  <c r="E18" i="15"/>
  <c r="G18" i="15" s="1"/>
  <c r="E19" i="15"/>
  <c r="G19" i="15" s="1"/>
  <c r="F19" i="15"/>
  <c r="H19" i="15"/>
  <c r="J19" i="15"/>
  <c r="L19" i="15" s="1"/>
  <c r="E20" i="15"/>
  <c r="F20" i="15" s="1"/>
  <c r="J20" i="15"/>
  <c r="L20" i="15" s="1"/>
  <c r="E21" i="15"/>
  <c r="J21" i="15" s="1"/>
  <c r="G21" i="15"/>
  <c r="E22" i="15"/>
  <c r="G22" i="15" s="1"/>
  <c r="E23" i="15"/>
  <c r="G23" i="15" s="1"/>
  <c r="F23" i="15"/>
  <c r="E24" i="15"/>
  <c r="F24" i="15" s="1"/>
  <c r="G24" i="15"/>
  <c r="E25" i="15"/>
  <c r="J25" i="15" s="1"/>
  <c r="Y25" i="15"/>
  <c r="Y26" i="15" s="1"/>
  <c r="E26" i="15"/>
  <c r="F26" i="15" s="1"/>
  <c r="E27" i="15"/>
  <c r="F27" i="15" s="1"/>
  <c r="E28" i="15"/>
  <c r="J28" i="15" s="1"/>
  <c r="G28" i="15"/>
  <c r="H28" i="15"/>
  <c r="E38" i="15"/>
  <c r="B8" i="14" s="1"/>
  <c r="F10" i="13" s="1"/>
  <c r="J8" i="15"/>
  <c r="M8" i="15" s="1"/>
  <c r="H8" i="15"/>
  <c r="G8" i="15"/>
  <c r="F8" i="15"/>
  <c r="J9" i="15"/>
  <c r="M9" i="15" s="1"/>
  <c r="H9" i="15"/>
  <c r="G9" i="15"/>
  <c r="F9" i="15"/>
  <c r="I34" i="15"/>
  <c r="P6" i="15"/>
  <c r="O6" i="15"/>
  <c r="H25" i="15" l="1"/>
  <c r="G25" i="15"/>
  <c r="J23" i="15"/>
  <c r="K20" i="15"/>
  <c r="K16" i="15"/>
  <c r="F14" i="15"/>
  <c r="J27" i="15"/>
  <c r="G20" i="15"/>
  <c r="G16" i="15"/>
  <c r="O16" i="15" s="1"/>
  <c r="H13" i="15"/>
  <c r="G27" i="15"/>
  <c r="J24" i="15"/>
  <c r="F22" i="15"/>
  <c r="F18" i="15"/>
  <c r="G13" i="15"/>
  <c r="J11" i="15"/>
  <c r="M19" i="15"/>
  <c r="M15" i="15"/>
  <c r="H21" i="15"/>
  <c r="H17" i="15"/>
  <c r="L15" i="15"/>
  <c r="K12" i="15"/>
  <c r="K21" i="15"/>
  <c r="L21" i="15"/>
  <c r="M21" i="15"/>
  <c r="K17" i="15"/>
  <c r="L17" i="15"/>
  <c r="M17" i="15"/>
  <c r="K28" i="15"/>
  <c r="L28" i="15"/>
  <c r="M28" i="15"/>
  <c r="K25" i="15"/>
  <c r="L25" i="15"/>
  <c r="M25" i="15"/>
  <c r="K13" i="15"/>
  <c r="L13" i="15"/>
  <c r="M13" i="15"/>
  <c r="E30" i="15"/>
  <c r="F28" i="15"/>
  <c r="H27" i="15"/>
  <c r="F25" i="15"/>
  <c r="P25" i="15" s="1"/>
  <c r="H24" i="15"/>
  <c r="F21" i="15"/>
  <c r="P21" i="15" s="1"/>
  <c r="H20" i="15"/>
  <c r="O20" i="15" s="1"/>
  <c r="K19" i="15"/>
  <c r="F17" i="15"/>
  <c r="H16" i="15"/>
  <c r="F13" i="15"/>
  <c r="H12" i="15"/>
  <c r="O12" i="15" s="1"/>
  <c r="J26" i="15"/>
  <c r="H23" i="15"/>
  <c r="H15" i="15"/>
  <c r="H11" i="15"/>
  <c r="H26" i="15"/>
  <c r="J22" i="15"/>
  <c r="J18" i="15"/>
  <c r="G15" i="15"/>
  <c r="O15" i="15" s="1"/>
  <c r="J14" i="15"/>
  <c r="J30" i="15" s="1"/>
  <c r="J31" i="15" s="1"/>
  <c r="G11" i="15"/>
  <c r="M27" i="15"/>
  <c r="G26" i="15"/>
  <c r="M24" i="15"/>
  <c r="H22" i="15"/>
  <c r="M20" i="15"/>
  <c r="P19" i="15"/>
  <c r="H18" i="15"/>
  <c r="M16" i="15"/>
  <c r="H14" i="15"/>
  <c r="M12" i="15"/>
  <c r="K8" i="15"/>
  <c r="L8" i="15"/>
  <c r="L9" i="15"/>
  <c r="K9" i="15"/>
  <c r="O24" i="15" l="1"/>
  <c r="K11" i="15"/>
  <c r="L11" i="15"/>
  <c r="M11" i="15"/>
  <c r="L27" i="15"/>
  <c r="O27" i="15" s="1"/>
  <c r="K27" i="15"/>
  <c r="P24" i="15"/>
  <c r="P16" i="15"/>
  <c r="O17" i="15"/>
  <c r="L24" i="15"/>
  <c r="K24" i="15"/>
  <c r="H30" i="15"/>
  <c r="H31" i="15" s="1"/>
  <c r="P17" i="15"/>
  <c r="K23" i="15"/>
  <c r="P23" i="15" s="1"/>
  <c r="M23" i="15"/>
  <c r="L23" i="15"/>
  <c r="O19" i="15"/>
  <c r="E31" i="15"/>
  <c r="E33" i="15"/>
  <c r="G30" i="15"/>
  <c r="G31" i="15" s="1"/>
  <c r="O28" i="15"/>
  <c r="P20" i="15"/>
  <c r="K14" i="15"/>
  <c r="L14" i="15"/>
  <c r="M14" i="15"/>
  <c r="K26" i="15"/>
  <c r="P26" i="15" s="1"/>
  <c r="L26" i="15"/>
  <c r="M26" i="15"/>
  <c r="P28" i="15"/>
  <c r="O21" i="15"/>
  <c r="P12" i="15"/>
  <c r="P15" i="15"/>
  <c r="O13" i="15"/>
  <c r="K22" i="15"/>
  <c r="L22" i="15"/>
  <c r="P22" i="15" s="1"/>
  <c r="M22" i="15"/>
  <c r="P13" i="15"/>
  <c r="F30" i="15"/>
  <c r="F31" i="15" s="1"/>
  <c r="K18" i="15"/>
  <c r="L18" i="15"/>
  <c r="M18" i="15"/>
  <c r="O25" i="15"/>
  <c r="P11" i="15"/>
  <c r="P27" i="15"/>
  <c r="O11" i="15"/>
  <c r="P8" i="15"/>
  <c r="P9" i="15"/>
  <c r="O9" i="15"/>
  <c r="AA32" i="15"/>
  <c r="O8" i="15"/>
  <c r="O22" i="15" l="1"/>
  <c r="O18" i="15"/>
  <c r="O26" i="15"/>
  <c r="O23" i="15"/>
  <c r="L30" i="15"/>
  <c r="L31" i="15" s="1"/>
  <c r="O14" i="15"/>
  <c r="K30" i="15"/>
  <c r="K31" i="15" s="1"/>
  <c r="M30" i="15"/>
  <c r="M31" i="15" s="1"/>
  <c r="P18" i="15"/>
  <c r="P38" i="15"/>
  <c r="F21" i="13" s="1"/>
  <c r="P14" i="15"/>
  <c r="O31" i="15"/>
  <c r="F33" i="15"/>
  <c r="F34" i="15" s="1"/>
  <c r="F36" i="15" s="1"/>
  <c r="J33" i="15"/>
  <c r="H33" i="15"/>
  <c r="H34" i="15" s="1"/>
  <c r="H36" i="15" s="1"/>
  <c r="G33" i="15"/>
  <c r="G34" i="15" s="1"/>
  <c r="G36" i="15" s="1"/>
  <c r="E34" i="15"/>
  <c r="E36" i="15" s="1"/>
  <c r="AA35" i="15"/>
  <c r="P31" i="15" l="1"/>
  <c r="L33" i="15"/>
  <c r="L34" i="15" s="1"/>
  <c r="L36" i="15" s="1"/>
  <c r="M33" i="15"/>
  <c r="M34" i="15" s="1"/>
  <c r="M36" i="15" s="1"/>
  <c r="K33" i="15"/>
  <c r="K34" i="15" s="1"/>
  <c r="K36" i="15" s="1"/>
  <c r="O34" i="15"/>
  <c r="J34" i="15"/>
  <c r="J36" i="15" s="1"/>
  <c r="P34" i="15" l="1"/>
  <c r="Z35" i="15" s="1"/>
  <c r="Z32" i="15"/>
  <c r="A23" i="13" l="1"/>
  <c r="E32" i="13"/>
  <c r="F32" i="13"/>
  <c r="F28" i="13"/>
  <c r="D28" i="13"/>
  <c r="F33" i="14" l="1"/>
  <c r="E33" i="14"/>
  <c r="D33" i="14"/>
  <c r="F32" i="14"/>
  <c r="G32" i="14" s="1"/>
  <c r="E32" i="14"/>
  <c r="D32" i="14"/>
  <c r="F31" i="14"/>
  <c r="E31" i="14"/>
  <c r="D31" i="14"/>
  <c r="F30" i="14"/>
  <c r="G30" i="14" s="1"/>
  <c r="E30" i="14"/>
  <c r="D30" i="14"/>
  <c r="F29" i="14"/>
  <c r="E29" i="14"/>
  <c r="D29" i="14"/>
  <c r="F28" i="14"/>
  <c r="G28" i="14" s="1"/>
  <c r="E28" i="14"/>
  <c r="D28" i="14"/>
  <c r="F27" i="14"/>
  <c r="E27" i="14"/>
  <c r="D27" i="14"/>
  <c r="H26" i="14"/>
  <c r="F26" i="14"/>
  <c r="G26" i="14" s="1"/>
  <c r="E26" i="14"/>
  <c r="D26" i="14"/>
  <c r="F24" i="14"/>
  <c r="E24" i="14"/>
  <c r="D24" i="14"/>
  <c r="F23" i="14"/>
  <c r="G23" i="14" s="1"/>
  <c r="E23" i="14"/>
  <c r="D23" i="14"/>
  <c r="F22" i="14"/>
  <c r="E22" i="14"/>
  <c r="D22" i="14"/>
  <c r="F21" i="14"/>
  <c r="G21" i="14" s="1"/>
  <c r="E21" i="14"/>
  <c r="D21" i="14"/>
  <c r="F19" i="14"/>
  <c r="E19" i="14"/>
  <c r="D19" i="14"/>
  <c r="F18" i="14"/>
  <c r="G18" i="14" s="1"/>
  <c r="E18" i="14"/>
  <c r="D18" i="14"/>
  <c r="F17" i="14"/>
  <c r="E17" i="14"/>
  <c r="D17" i="14"/>
  <c r="F16" i="14"/>
  <c r="G16" i="14" s="1"/>
  <c r="E16" i="14"/>
  <c r="D16" i="14"/>
  <c r="F15" i="14"/>
  <c r="E15" i="14"/>
  <c r="D15" i="14"/>
  <c r="F14" i="14"/>
  <c r="G14" i="14" s="1"/>
  <c r="E14" i="14"/>
  <c r="D14" i="14"/>
  <c r="F12" i="14"/>
  <c r="E12" i="14"/>
  <c r="D12" i="14"/>
  <c r="F11" i="14"/>
  <c r="E11" i="14"/>
  <c r="D11" i="14"/>
  <c r="F10" i="14"/>
  <c r="E10" i="14"/>
  <c r="D10" i="14"/>
  <c r="F8" i="14"/>
  <c r="F15" i="13" s="1"/>
  <c r="E8" i="14"/>
  <c r="F13" i="13" s="1"/>
  <c r="D8" i="14"/>
  <c r="F12" i="13" s="1"/>
  <c r="I7" i="14"/>
  <c r="H7" i="14"/>
  <c r="F7" i="14"/>
  <c r="G7" i="14" s="1"/>
  <c r="E7" i="14"/>
  <c r="D7" i="14"/>
  <c r="I6" i="14"/>
  <c r="F6" i="14"/>
  <c r="E6" i="14"/>
  <c r="D6" i="14"/>
  <c r="C33" i="14"/>
  <c r="C32" i="14"/>
  <c r="C31" i="14"/>
  <c r="C30" i="14"/>
  <c r="C29" i="14"/>
  <c r="C28" i="14"/>
  <c r="C27" i="14"/>
  <c r="C26" i="14"/>
  <c r="C24" i="14"/>
  <c r="C23" i="14"/>
  <c r="C22" i="14"/>
  <c r="C21" i="14"/>
  <c r="C19" i="14"/>
  <c r="C18" i="14"/>
  <c r="C17" i="14"/>
  <c r="C16" i="14"/>
  <c r="C15" i="14"/>
  <c r="C14" i="14"/>
  <c r="C12" i="14"/>
  <c r="C11" i="14"/>
  <c r="C10" i="14"/>
  <c r="C7" i="14"/>
  <c r="C8" i="14"/>
  <c r="F11" i="13" s="1"/>
  <c r="C6" i="14"/>
  <c r="I31" i="14" l="1"/>
  <c r="G31" i="14"/>
  <c r="G11" i="14"/>
  <c r="I11" i="14"/>
  <c r="I12" i="14"/>
  <c r="G12" i="14"/>
  <c r="H14" i="14"/>
  <c r="I15" i="14"/>
  <c r="G15" i="14"/>
  <c r="H16" i="14"/>
  <c r="I17" i="14"/>
  <c r="G17" i="14"/>
  <c r="H18" i="14"/>
  <c r="I19" i="14"/>
  <c r="G19" i="14"/>
  <c r="H21" i="14"/>
  <c r="I29" i="14"/>
  <c r="G29" i="14"/>
  <c r="H30" i="14"/>
  <c r="I8" i="14"/>
  <c r="F18" i="13" s="1"/>
  <c r="G8" i="14"/>
  <c r="F16" i="13" s="1"/>
  <c r="I24" i="14"/>
  <c r="G24" i="14"/>
  <c r="I22" i="14"/>
  <c r="G22" i="14"/>
  <c r="H23" i="14"/>
  <c r="G6" i="14"/>
  <c r="H6" i="14"/>
  <c r="I10" i="14"/>
  <c r="G10" i="14"/>
  <c r="H11" i="14"/>
  <c r="I14" i="14"/>
  <c r="I16" i="14"/>
  <c r="I18" i="14"/>
  <c r="I27" i="14"/>
  <c r="G27" i="14"/>
  <c r="H28" i="14"/>
  <c r="I33" i="14"/>
  <c r="H33" i="14"/>
  <c r="G33" i="14"/>
  <c r="H32" i="14"/>
  <c r="I26" i="14"/>
  <c r="I28" i="14"/>
  <c r="I30" i="14"/>
  <c r="I32" i="14"/>
  <c r="H27" i="14"/>
  <c r="H29" i="14"/>
  <c r="H31" i="14"/>
  <c r="I21" i="14"/>
  <c r="I23" i="14"/>
  <c r="H22" i="14"/>
  <c r="H24" i="14"/>
  <c r="H15" i="14"/>
  <c r="H17" i="14"/>
  <c r="H19" i="14"/>
  <c r="H10" i="14"/>
  <c r="H12" i="14"/>
  <c r="H8" i="14"/>
  <c r="F17" i="13" s="1"/>
  <c r="G22" i="13" l="1"/>
  <c r="B35" i="14" l="1"/>
  <c r="G18" i="13"/>
  <c r="H18" i="13" s="1"/>
  <c r="G17" i="13"/>
  <c r="H17" i="13" s="1"/>
  <c r="G16" i="13"/>
  <c r="H16" i="13" s="1"/>
  <c r="G15" i="13"/>
  <c r="H15" i="13" s="1"/>
  <c r="G11" i="13"/>
  <c r="H11" i="13" s="1"/>
  <c r="G12" i="13"/>
  <c r="H12" i="13" s="1"/>
  <c r="G13" i="13"/>
  <c r="H13" i="13" s="1"/>
  <c r="G10" i="13"/>
  <c r="H10" i="13" s="1"/>
  <c r="C35" i="14" l="1"/>
  <c r="D35" i="14"/>
  <c r="E35" i="14"/>
  <c r="F35" i="14"/>
  <c r="H35" i="14" l="1"/>
  <c r="I35" i="14"/>
  <c r="G35" i="14"/>
  <c r="G32" i="13" l="1"/>
  <c r="H32" i="13" s="1"/>
  <c r="C34" i="13" l="1"/>
  <c r="D34" i="13"/>
  <c r="E34" i="13"/>
  <c r="F34" i="13"/>
  <c r="C42" i="13"/>
  <c r="D42" i="13"/>
  <c r="E42" i="13"/>
  <c r="F42" i="13"/>
  <c r="E44" i="13" l="1"/>
  <c r="E24" i="13"/>
  <c r="G37" i="13"/>
  <c r="H37" i="13" s="1"/>
  <c r="E48" i="13" l="1"/>
  <c r="E57" i="13" s="1"/>
  <c r="G56" i="13"/>
  <c r="H56" i="13" s="1"/>
  <c r="A2" i="13"/>
  <c r="A3" i="13" s="1"/>
  <c r="A4" i="13" s="1"/>
  <c r="A5" i="13" s="1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4" i="13" s="1"/>
  <c r="A25" i="13" s="1"/>
  <c r="A26" i="13" s="1"/>
  <c r="A27" i="13" s="1"/>
  <c r="A28" i="13" s="1"/>
  <c r="A29" i="13" s="1"/>
  <c r="A30" i="13" s="1"/>
  <c r="A31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F24" i="13"/>
  <c r="D24" i="13"/>
  <c r="C24" i="13"/>
  <c r="G58" i="13"/>
  <c r="G55" i="13"/>
  <c r="H55" i="13" s="1"/>
  <c r="G33" i="13"/>
  <c r="H33" i="13" s="1"/>
  <c r="G29" i="13"/>
  <c r="H29" i="13" s="1"/>
  <c r="H22" i="13"/>
  <c r="G30" i="13"/>
  <c r="H30" i="13" s="1"/>
  <c r="G40" i="13"/>
  <c r="H40" i="13" s="1"/>
  <c r="G38" i="13"/>
  <c r="H38" i="13" s="1"/>
  <c r="G31" i="13"/>
  <c r="H31" i="13" s="1"/>
  <c r="G23" i="13"/>
  <c r="H23" i="13" s="1"/>
  <c r="G28" i="13"/>
  <c r="G41" i="13"/>
  <c r="H41" i="13" s="1"/>
  <c r="G39" i="13"/>
  <c r="H39" i="13" s="1"/>
  <c r="G21" i="13"/>
  <c r="H21" i="13" s="1"/>
  <c r="H28" i="13" l="1"/>
  <c r="G34" i="13"/>
  <c r="H34" i="13" s="1"/>
  <c r="C44" i="13"/>
  <c r="D44" i="13"/>
  <c r="D48" i="13" s="1"/>
  <c r="G42" i="13"/>
  <c r="H42" i="13" s="1"/>
  <c r="F44" i="13"/>
  <c r="G24" i="13"/>
  <c r="H24" i="13" s="1"/>
  <c r="C48" i="13" l="1"/>
  <c r="D57" i="13"/>
  <c r="D60" i="13" s="1"/>
  <c r="C57" i="13"/>
  <c r="D51" i="13"/>
  <c r="G44" i="13"/>
  <c r="H44" i="13" s="1"/>
  <c r="F48" i="13"/>
  <c r="C60" i="13" l="1"/>
  <c r="C51" i="13"/>
  <c r="F57" i="13"/>
  <c r="G57" i="13" s="1"/>
  <c r="H57" i="13" s="1"/>
  <c r="G49" i="13"/>
  <c r="H49" i="13" s="1"/>
  <c r="G48" i="13"/>
  <c r="H48" i="13" s="1"/>
  <c r="E54" i="13" l="1"/>
  <c r="E60" i="13" s="1"/>
  <c r="F54" i="13" s="1"/>
  <c r="G54" i="13" s="1"/>
  <c r="H54" i="13" s="1"/>
  <c r="E47" i="13"/>
  <c r="E51" i="13" s="1"/>
  <c r="F47" i="13" s="1"/>
  <c r="F51" i="13" s="1"/>
  <c r="G51" i="13" s="1"/>
  <c r="H51" i="13" s="1"/>
  <c r="F60" i="13" l="1"/>
  <c r="G60" i="13" s="1"/>
  <c r="H60" i="13" s="1"/>
  <c r="G47" i="13"/>
  <c r="H47" i="13" s="1"/>
</calcChain>
</file>

<file path=xl/comments1.xml><?xml version="1.0" encoding="utf-8"?>
<comments xmlns="http://schemas.openxmlformats.org/spreadsheetml/2006/main">
  <authors>
    <author>Grube,Brian</author>
  </authors>
  <commentList>
    <comment ref="G28" authorId="0" shapeId="0">
      <text>
        <r>
          <rPr>
            <sz val="8"/>
            <color indexed="81"/>
            <rFont val="Tahoma"/>
            <family val="2"/>
          </rPr>
          <t>FISCAL NOTE 1 - Transfort CPI Adjustment
Transfort's contract with ASCSU has an annual adjustment up to 3% based on the Denver / Greeley / Boulder Consumer Price Index.  This budget is set conservatively to cover the full 3% increase.
FY2017 total contract cost came in lower than originally anticipated so even with a 3% increase, FY2018 cost is lower than approved FY2017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G40" authorId="0" shapeId="0">
      <text>
        <r>
          <rPr>
            <sz val="8"/>
            <color indexed="81"/>
            <rFont val="Tahoma"/>
            <family val="2"/>
          </rPr>
          <t>FISCAL NOTE 2 - Request for Capital Improvement Budget
ATFAB is requesting a pool of money from which to fund various infrastructure improvement projects approved by their board.</t>
        </r>
      </text>
    </comment>
    <comment ref="G51" authorId="0" shapeId="0">
      <text>
        <r>
          <rPr>
            <sz val="8"/>
            <color indexed="81"/>
            <rFont val="Tahoma"/>
            <family val="2"/>
          </rPr>
          <t>FISCAL NOTE 3 - ATFAB Fund Balance
The separation of ATFAB from the ASCSU budget requires the stand alone board to carry a fund balance should student enrollment drop to cover the contracted Transfort services.  ATFAB is seeking to build a 10% contract balance over three years.  FY2019 ending fund balance is 2/3rds of that target</t>
        </r>
      </text>
    </comment>
  </commentList>
</comments>
</file>

<file path=xl/comments2.xml><?xml version="1.0" encoding="utf-8"?>
<comments xmlns="http://schemas.openxmlformats.org/spreadsheetml/2006/main">
  <authors>
    <author>Fodge,Aaron</author>
  </authors>
  <commentList>
    <comment ref="P5" authorId="0" shapeId="0">
      <text>
        <r>
          <rPr>
            <b/>
            <sz val="9"/>
            <color indexed="81"/>
            <rFont val="Tahoma"/>
            <family val="2"/>
          </rPr>
          <t>Fodge,Aaron:</t>
        </r>
        <r>
          <rPr>
            <sz val="9"/>
            <color indexed="81"/>
            <rFont val="Tahoma"/>
            <family val="2"/>
          </rPr>
          <t xml:space="preserve">
Use Goal Seek (DATA -&gt; WHAT-IF ANALYSIS -&gt; GOAL SEEK) to back calculate fee should student estimates or a cost per service change.</t>
        </r>
      </text>
    </comment>
  </commentList>
</comments>
</file>

<file path=xl/sharedStrings.xml><?xml version="1.0" encoding="utf-8"?>
<sst xmlns="http://schemas.openxmlformats.org/spreadsheetml/2006/main" count="163" uniqueCount="130">
  <si>
    <t>EXPENSES</t>
  </si>
  <si>
    <t xml:space="preserve"> </t>
  </si>
  <si>
    <t>FUND BALANCE</t>
  </si>
  <si>
    <t>TOTAL REVENUE</t>
  </si>
  <si>
    <t>TOTAL EXPENSES</t>
  </si>
  <si>
    <t>REVENUE</t>
  </si>
  <si>
    <t>Part Time On Campus</t>
  </si>
  <si>
    <t>Off Campus</t>
  </si>
  <si>
    <t>ACTUAL</t>
  </si>
  <si>
    <t>APPROVED</t>
  </si>
  <si>
    <t>PROPOSED</t>
  </si>
  <si>
    <t>CHANGE</t>
  </si>
  <si>
    <t>%</t>
  </si>
  <si>
    <t>$</t>
  </si>
  <si>
    <t>Mandatory Costs</t>
  </si>
  <si>
    <t>Subtotal Mandatory Costs</t>
  </si>
  <si>
    <t>Other Costs</t>
  </si>
  <si>
    <t>STUDENT FEES</t>
  </si>
  <si>
    <t>ENDING FUND BALANCE</t>
  </si>
  <si>
    <t>BOND INFORMATION</t>
  </si>
  <si>
    <t>RESERVE ACCOUNT BALANCE</t>
  </si>
  <si>
    <t xml:space="preserve">  Operations Increase/Decrease</t>
  </si>
  <si>
    <t xml:space="preserve">  Contributions to Reserve Account</t>
  </si>
  <si>
    <t xml:space="preserve">  Beginning Reserve Balance at June 30</t>
  </si>
  <si>
    <t xml:space="preserve">  Non-Operating Expenses</t>
  </si>
  <si>
    <t xml:space="preserve">  Contributions to Reserve</t>
  </si>
  <si>
    <t xml:space="preserve">  Committed Funds</t>
  </si>
  <si>
    <t>Subtotal Other Costs</t>
  </si>
  <si>
    <t>RESERVE ACCOUNT</t>
  </si>
  <si>
    <t>Fall/Spring - Full Time On Campus</t>
  </si>
  <si>
    <t>Summer - Full Time On Campus</t>
  </si>
  <si>
    <t xml:space="preserve">Date:  </t>
  </si>
  <si>
    <t>PROJECTED</t>
  </si>
  <si>
    <t xml:space="preserve">  Repair &amp; Replacement (Bldg. Improvements)</t>
  </si>
  <si>
    <t xml:space="preserve">  Other Revenues </t>
  </si>
  <si>
    <t xml:space="preserve">  Other Expenses </t>
  </si>
  <si>
    <t xml:space="preserve">  Fee Portion Attributed to Bond: </t>
  </si>
  <si>
    <t>FY17</t>
  </si>
  <si>
    <r>
      <t xml:space="preserve">  Student Fees</t>
    </r>
    <r>
      <rPr>
        <i/>
        <sz val="8"/>
        <rFont val="Arial"/>
        <family val="2"/>
      </rPr>
      <t xml:space="preserve"> (4352)</t>
    </r>
  </si>
  <si>
    <r>
      <t xml:space="preserve">  Salary and Benefits </t>
    </r>
    <r>
      <rPr>
        <i/>
        <sz val="8"/>
        <rFont val="Arial"/>
        <family val="2"/>
      </rPr>
      <t>(5XXX)</t>
    </r>
  </si>
  <si>
    <r>
      <t xml:space="preserve">  Utilities </t>
    </r>
    <r>
      <rPr>
        <i/>
        <sz val="8"/>
        <rFont val="Arial"/>
        <family val="2"/>
      </rPr>
      <t>(78XX)</t>
    </r>
  </si>
  <si>
    <r>
      <t xml:space="preserve">  Insurance </t>
    </r>
    <r>
      <rPr>
        <i/>
        <sz val="8"/>
        <rFont val="Arial"/>
        <family val="2"/>
      </rPr>
      <t>(6641)</t>
    </r>
  </si>
  <si>
    <r>
      <t xml:space="preserve">  Bad Debt </t>
    </r>
    <r>
      <rPr>
        <i/>
        <sz val="8"/>
        <rFont val="Arial"/>
        <family val="2"/>
      </rPr>
      <t>(6705)</t>
    </r>
  </si>
  <si>
    <r>
      <t xml:space="preserve">  Bond Payment </t>
    </r>
    <r>
      <rPr>
        <i/>
        <sz val="8"/>
        <rFont val="Arial"/>
        <family val="2"/>
      </rPr>
      <t>(98XX)</t>
    </r>
  </si>
  <si>
    <r>
      <t xml:space="preserve">  Materials and Supplies </t>
    </r>
    <r>
      <rPr>
        <i/>
        <sz val="8"/>
        <rFont val="Arial"/>
        <family val="2"/>
      </rPr>
      <t>(62XX)</t>
    </r>
  </si>
  <si>
    <r>
      <t xml:space="preserve">  Travel </t>
    </r>
    <r>
      <rPr>
        <i/>
        <sz val="8"/>
        <rFont val="Arial"/>
        <family val="2"/>
      </rPr>
      <t>(60XX) + (61XX)</t>
    </r>
  </si>
  <si>
    <r>
      <t xml:space="preserve">  Fund Balance at June 30 </t>
    </r>
    <r>
      <rPr>
        <i/>
        <sz val="8"/>
        <rFont val="Arial"/>
        <family val="2"/>
      </rPr>
      <t>(3000)</t>
    </r>
  </si>
  <si>
    <r>
      <t xml:space="preserve">  Plant Fund Interest</t>
    </r>
    <r>
      <rPr>
        <i/>
        <sz val="8"/>
        <rFont val="Arial"/>
        <family val="2"/>
      </rPr>
      <t xml:space="preserve"> (44XX)</t>
    </r>
  </si>
  <si>
    <r>
      <t xml:space="preserve">  Self Generated Revenue</t>
    </r>
    <r>
      <rPr>
        <i/>
        <sz val="8"/>
        <rFont val="Arial"/>
        <family val="2"/>
      </rPr>
      <t xml:space="preserve"> (Interest and Other Income)</t>
    </r>
  </si>
  <si>
    <r>
      <t xml:space="preserve">  Other Operating Expenses</t>
    </r>
    <r>
      <rPr>
        <i/>
        <sz val="8"/>
        <rFont val="Arial"/>
        <family val="2"/>
      </rPr>
      <t xml:space="preserve"> (66XX + other)</t>
    </r>
  </si>
  <si>
    <t>FY18</t>
  </si>
  <si>
    <t xml:space="preserve">Colorado State University </t>
  </si>
  <si>
    <t>STUDENT FEES CALCULATED</t>
  </si>
  <si>
    <t>STUDENT FEE %</t>
  </si>
  <si>
    <t>Fee Area - Please enter your full time on-campus fall and spring proposed fee in the orange box, the remaider of the fees will be calculated</t>
  </si>
  <si>
    <t>Full-Time,        On-Campus Student Fall and Spring</t>
  </si>
  <si>
    <t>Full-Time,      Off-Campus Student Fall and Spring</t>
  </si>
  <si>
    <t>Part-Time,          On-Campus Student Fall and Spring</t>
  </si>
  <si>
    <t>Part-Time,      Off-Campus Student Fall and Spring</t>
  </si>
  <si>
    <t>Full-Time,         On-Campus Student Summer</t>
  </si>
  <si>
    <t>Full-Time,      Off-Campus Student Summer</t>
  </si>
  <si>
    <t>Part-Time,       On-Campus Student Summer</t>
  </si>
  <si>
    <t>Part-Time,         Off-Campus Student Summer</t>
  </si>
  <si>
    <t>Adult Learner and Veteran Services</t>
  </si>
  <si>
    <t>Associated Students of Colorado State University (ASCSU)</t>
  </si>
  <si>
    <t>Alternative Transportation Fee Advisory Board (Transfort)</t>
  </si>
  <si>
    <t>Athletics</t>
  </si>
  <si>
    <t>Operations</t>
  </si>
  <si>
    <t>Debt Service</t>
  </si>
  <si>
    <t>Facilities Debt Service</t>
  </si>
  <si>
    <t>Campus Recreation</t>
  </si>
  <si>
    <t>Student Recreation Center</t>
  </si>
  <si>
    <t>Recreational Sports Office</t>
  </si>
  <si>
    <t>Career Center</t>
  </si>
  <si>
    <t>Committee for Disabled Students Accessibility</t>
  </si>
  <si>
    <t>CSU Health Network</t>
  </si>
  <si>
    <t>University Counseling Center</t>
  </si>
  <si>
    <t>Hartshorn Health Services</t>
  </si>
  <si>
    <r>
      <t>Facilities Construction</t>
    </r>
    <r>
      <rPr>
        <vertAlign val="superscript"/>
        <sz val="11"/>
        <color theme="1"/>
        <rFont val="Calibri"/>
        <family val="2"/>
        <scheme val="minor"/>
      </rPr>
      <t>1</t>
    </r>
  </si>
  <si>
    <t>Interpersonal Violence Response and Safety</t>
  </si>
  <si>
    <t>Lory Student Center</t>
  </si>
  <si>
    <t xml:space="preserve">  Operations </t>
  </si>
  <si>
    <t xml:space="preserve">  Facilities Construction/Renovations</t>
  </si>
  <si>
    <t>RamEvents</t>
  </si>
  <si>
    <t>Off-Campus Life</t>
  </si>
  <si>
    <t>RamRide</t>
  </si>
  <si>
    <t>School of the Arts</t>
  </si>
  <si>
    <t>Student Leadership Involvement &amp; Community Engagement</t>
  </si>
  <si>
    <t>Student Legal Services</t>
  </si>
  <si>
    <t>Subtotal</t>
  </si>
  <si>
    <t>Student Resolution Center</t>
  </si>
  <si>
    <t xml:space="preserve">  Bonds Issued:  </t>
  </si>
  <si>
    <t xml:space="preserve">  Year Bond Retires:  </t>
  </si>
  <si>
    <t>FY19 Proposed Student Fee</t>
  </si>
  <si>
    <t>FY19</t>
  </si>
  <si>
    <t>FY 2019 Student Fee Review Board Budget Presentation</t>
  </si>
  <si>
    <t xml:space="preserve">  Contractual Obligation (Transfort Contract)</t>
  </si>
  <si>
    <r>
      <t xml:space="preserve">Enter </t>
    </r>
    <r>
      <rPr>
        <b/>
        <i/>
        <sz val="10"/>
        <rFont val="Arial"/>
        <family val="2"/>
      </rPr>
      <t>1</t>
    </r>
    <r>
      <rPr>
        <i/>
        <sz val="10"/>
        <rFont val="Arial"/>
        <family val="2"/>
      </rPr>
      <t xml:space="preserve"> or more below to add fee.  Enter </t>
    </r>
    <r>
      <rPr>
        <b/>
        <i/>
        <sz val="10"/>
        <rFont val="Arial"/>
        <family val="2"/>
      </rPr>
      <t>0</t>
    </r>
    <r>
      <rPr>
        <i/>
        <sz val="10"/>
        <rFont val="Arial"/>
        <family val="2"/>
      </rPr>
      <t xml:space="preserve"> to remove fee</t>
    </r>
  </si>
  <si>
    <t>Fee Area - Please enter your full time on-campus fall and spring proposed fee in the orange box, the remainder of the fees will be calculated</t>
  </si>
  <si>
    <t xml:space="preserve">Semester Revenue Total (Summer Counted Once) </t>
  </si>
  <si>
    <t>Annual Revenue Total (Fall and Spring Counted Twice)</t>
  </si>
  <si>
    <t>Quantity by Student Category</t>
  </si>
  <si>
    <t>2018 FISCAL - EXISTING STUDENT FEE ($26.23 semester)</t>
  </si>
  <si>
    <t>ATFAB DESIRED STUDENT FEE INCREASE ($20.63 semester)</t>
  </si>
  <si>
    <t>ATFAB - Transit - Horn - South Residence Extension</t>
  </si>
  <si>
    <t>ATFAB - Transit - Horn Extend Hours - Current Route (10 min frequency)</t>
  </si>
  <si>
    <t>ATFAB - Transit - Horn Extend Hours - Current Route (20 min frequency)</t>
  </si>
  <si>
    <t>ATFAB - Transit - Horn Extend Hours - Extended Route (10 min frequency)</t>
  </si>
  <si>
    <t>ATFAB - Transit - Route 2 - Extended Hours (30 min frequency)</t>
  </si>
  <si>
    <t>ATFAB - Transit - Route 3 - Extended Hours (10 min frequency)</t>
  </si>
  <si>
    <t>ATFAB - Transit - Route 3 - Extended Hours (15 min frequency)</t>
  </si>
  <si>
    <t>ATFAB - Transit - Route 3 - Extended Hours (30 min frequency)</t>
  </si>
  <si>
    <t>ATFAB - Transit - Route 31 - Extended Hours (10 min frequency)</t>
  </si>
  <si>
    <t>ATFAB - Transit - Route 32 - Extended Hours (30 min frequency)</t>
  </si>
  <si>
    <t>ATFAB - Transit - Route 33 - Extended Hours (60 min frequency)</t>
  </si>
  <si>
    <t>ATFAB - Transit - West Elizabeth Trailer Bus (6:30am - 8:40pm)</t>
  </si>
  <si>
    <t>ATFAB - Transit - MAX 24 hrs (Mon-Sat)</t>
  </si>
  <si>
    <t>ATFAB - Transit - MAX 365 days (MAX only Sundays - 8am - 7pm)</t>
  </si>
  <si>
    <t>ATFAB - Transit - MAX 365 days (MAX, 2 &amp; 3 only Sundays - 8am - 7pm)</t>
  </si>
  <si>
    <t>ATFAB - Transit - MAX 365 days (2 &amp; 3 only Sundays - 8am - 7pm)</t>
  </si>
  <si>
    <t>ATFAB - Transit - Sunday Service (MAX plus 4 routes)</t>
  </si>
  <si>
    <t>Creation of Fund Balance - Year 1 - 3 - Drop in Student Enrollment</t>
  </si>
  <si>
    <t>Transit Fee Subtotal</t>
  </si>
  <si>
    <t>Transit Expansion Revenue Subtotal</t>
  </si>
  <si>
    <t>Transit 2018</t>
  </si>
  <si>
    <t>Transportation Infrastructure Fee Subtotal</t>
  </si>
  <si>
    <t>Transportation Infrastructure Pool Subtotal</t>
  </si>
  <si>
    <t>Base Transit + Fee</t>
  </si>
  <si>
    <t>FY19 Student Fee</t>
  </si>
  <si>
    <t>Fee Funded Area:   ATFAB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</si>
</sst>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_(&quot;$&quot;* #,##0_);_(&quot;$&quot;* \(#,##0\);_(&quot;$&quot;* &quot;-&quot;??_);_(@_)"/>
  </numFmts>
  <fonts count="4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7"/>
      <name val="Arial"/>
      <family val="2"/>
    </font>
    <font>
      <b/>
      <sz val="11"/>
      <color rgb="FFFF3399"/>
      <name val="Calibri"/>
      <family val="2"/>
    </font>
    <font>
      <b/>
      <sz val="14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8"/>
      <name val="Arial"/>
      <family val="2"/>
    </font>
    <font>
      <sz val="10"/>
      <name val="Arial"/>
      <family val="2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45">
    <fill>
      <patternFill patternType="none"/>
    </fill>
    <fill>
      <patternFill patternType="gray125"/>
    </fill>
    <fill>
      <patternFill patternType="gray125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41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1" fillId="1" borderId="0"/>
    <xf numFmtId="0" fontId="9" fillId="2" borderId="0" applyFont="0"/>
    <xf numFmtId="0" fontId="9" fillId="3" borderId="0" applyFont="0"/>
    <xf numFmtId="0" fontId="4" fillId="1" borderId="0"/>
    <xf numFmtId="0" fontId="4" fillId="0" borderId="0"/>
    <xf numFmtId="0" fontId="4" fillId="1" borderId="0"/>
    <xf numFmtId="0" fontId="17" fillId="0" borderId="0" applyNumberFormat="0" applyFill="0" applyBorder="0" applyAlignment="0" applyProtection="0"/>
    <xf numFmtId="0" fontId="18" fillId="0" borderId="28" applyNumberFormat="0" applyFill="0" applyAlignment="0" applyProtection="0"/>
    <xf numFmtId="0" fontId="19" fillId="0" borderId="29" applyNumberFormat="0" applyFill="0" applyAlignment="0" applyProtection="0"/>
    <xf numFmtId="0" fontId="20" fillId="0" borderId="30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31" applyNumberFormat="0" applyAlignment="0" applyProtection="0"/>
    <xf numFmtId="0" fontId="25" fillId="11" borderId="32" applyNumberFormat="0" applyAlignment="0" applyProtection="0"/>
    <xf numFmtId="0" fontId="26" fillId="11" borderId="31" applyNumberFormat="0" applyAlignment="0" applyProtection="0"/>
    <xf numFmtId="0" fontId="27" fillId="0" borderId="33" applyNumberFormat="0" applyFill="0" applyAlignment="0" applyProtection="0"/>
    <xf numFmtId="0" fontId="28" fillId="12" borderId="3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6" applyNumberFormat="0" applyFill="0" applyAlignment="0" applyProtection="0"/>
    <xf numFmtId="0" fontId="3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2" fillId="37" borderId="0" applyNumberFormat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3" borderId="35" applyNumberFormat="0" applyFont="0" applyAlignment="0" applyProtection="0"/>
    <xf numFmtId="0" fontId="3" fillId="0" borderId="0"/>
    <xf numFmtId="0" fontId="3" fillId="13" borderId="35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13" borderId="35" applyNumberFormat="0" applyFont="0" applyAlignment="0" applyProtection="0"/>
    <xf numFmtId="0" fontId="2" fillId="0" borderId="0"/>
    <xf numFmtId="0" fontId="2" fillId="13" borderId="35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3" borderId="35" applyNumberFormat="0" applyFont="0" applyAlignment="0" applyProtection="0"/>
    <xf numFmtId="0" fontId="1" fillId="0" borderId="0"/>
    <xf numFmtId="0" fontId="1" fillId="13" borderId="35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</cellStyleXfs>
  <cellXfs count="358">
    <xf numFmtId="0" fontId="0" fillId="0" borderId="0" xfId="0"/>
    <xf numFmtId="0" fontId="0" fillId="0" borderId="0" xfId="0" applyFill="1"/>
    <xf numFmtId="0" fontId="10" fillId="0" borderId="0" xfId="0" applyFont="1" applyAlignment="1">
      <alignment horizontal="center"/>
    </xf>
    <xf numFmtId="0" fontId="0" fillId="0" borderId="0" xfId="0" applyBorder="1"/>
    <xf numFmtId="0" fontId="9" fillId="0" borderId="0" xfId="0" applyFont="1" applyBorder="1"/>
    <xf numFmtId="0" fontId="8" fillId="0" borderId="0" xfId="0" applyFont="1"/>
    <xf numFmtId="0" fontId="0" fillId="0" borderId="0" xfId="0" applyFill="1" applyBorder="1"/>
    <xf numFmtId="3" fontId="8" fillId="0" borderId="4" xfId="0" applyNumberFormat="1" applyFont="1" applyFill="1" applyBorder="1"/>
    <xf numFmtId="3" fontId="8" fillId="0" borderId="4" xfId="0" applyNumberFormat="1" applyFont="1" applyBorder="1"/>
    <xf numFmtId="0" fontId="8" fillId="0" borderId="4" xfId="0" applyFont="1" applyBorder="1"/>
    <xf numFmtId="37" fontId="8" fillId="0" borderId="4" xfId="0" applyNumberFormat="1" applyFont="1" applyBorder="1"/>
    <xf numFmtId="0" fontId="0" fillId="0" borderId="0" xfId="0" applyAlignment="1">
      <alignment wrapText="1"/>
    </xf>
    <xf numFmtId="0" fontId="8" fillId="0" borderId="1" xfId="0" applyFont="1" applyBorder="1"/>
    <xf numFmtId="0" fontId="6" fillId="0" borderId="0" xfId="0" applyFont="1"/>
    <xf numFmtId="0" fontId="6" fillId="0" borderId="4" xfId="0" applyFont="1" applyBorder="1"/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right"/>
    </xf>
    <xf numFmtId="0" fontId="5" fillId="0" borderId="0" xfId="0" applyFont="1"/>
    <xf numFmtId="0" fontId="8" fillId="5" borderId="11" xfId="0" applyFont="1" applyFill="1" applyBorder="1"/>
    <xf numFmtId="3" fontId="8" fillId="5" borderId="11" xfId="0" applyNumberFormat="1" applyFont="1" applyFill="1" applyBorder="1"/>
    <xf numFmtId="0" fontId="8" fillId="5" borderId="9" xfId="0" applyFont="1" applyFill="1" applyBorder="1"/>
    <xf numFmtId="0" fontId="6" fillId="0" borderId="10" xfId="0" applyFont="1" applyBorder="1"/>
    <xf numFmtId="164" fontId="0" fillId="0" borderId="0" xfId="1" applyNumberFormat="1" applyFont="1"/>
    <xf numFmtId="164" fontId="13" fillId="0" borderId="0" xfId="1" applyNumberFormat="1" applyFont="1" applyAlignment="1">
      <alignment horizontal="left"/>
    </xf>
    <xf numFmtId="164" fontId="13" fillId="0" borderId="0" xfId="1" applyNumberFormat="1" applyFont="1" applyBorder="1" applyAlignment="1">
      <alignment horizontal="right"/>
    </xf>
    <xf numFmtId="0" fontId="7" fillId="0" borderId="0" xfId="0" applyFont="1"/>
    <xf numFmtId="0" fontId="16" fillId="0" borderId="0" xfId="0" applyFont="1" applyAlignment="1">
      <alignment horizontal="center"/>
    </xf>
    <xf numFmtId="0" fontId="7" fillId="0" borderId="0" xfId="0" applyFont="1" applyBorder="1"/>
    <xf numFmtId="0" fontId="7" fillId="0" borderId="0" xfId="0" applyFont="1" applyFill="1" applyBorder="1"/>
    <xf numFmtId="0" fontId="15" fillId="0" borderId="0" xfId="0" applyFont="1" applyBorder="1"/>
    <xf numFmtId="37" fontId="8" fillId="0" borderId="4" xfId="1" applyNumberFormat="1" applyFont="1" applyBorder="1"/>
    <xf numFmtId="37" fontId="8" fillId="0" borderId="4" xfId="0" applyNumberFormat="1" applyFont="1" applyFill="1" applyBorder="1"/>
    <xf numFmtId="37" fontId="8" fillId="0" borderId="4" xfId="1" applyNumberFormat="1" applyFont="1" applyFill="1" applyBorder="1"/>
    <xf numFmtId="37" fontId="8" fillId="0" borderId="10" xfId="0" applyNumberFormat="1" applyFont="1" applyBorder="1"/>
    <xf numFmtId="0" fontId="13" fillId="0" borderId="0" xfId="0" applyFont="1" applyBorder="1" applyAlignment="1">
      <alignment horizontal="right"/>
    </xf>
    <xf numFmtId="0" fontId="0" fillId="0" borderId="0" xfId="0" applyFill="1" applyAlignment="1">
      <alignment horizontal="right"/>
    </xf>
    <xf numFmtId="10" fontId="0" fillId="4" borderId="6" xfId="0" applyNumberFormat="1" applyFill="1" applyBorder="1" applyAlignment="1">
      <alignment horizontal="right"/>
    </xf>
    <xf numFmtId="0" fontId="13" fillId="0" borderId="0" xfId="0" applyFont="1" applyAlignment="1">
      <alignment horizontal="right"/>
    </xf>
    <xf numFmtId="0" fontId="0" fillId="0" borderId="0" xfId="0"/>
    <xf numFmtId="0" fontId="0" fillId="0" borderId="1" xfId="0" applyFill="1" applyBorder="1"/>
    <xf numFmtId="3" fontId="0" fillId="0" borderId="4" xfId="0" applyNumberFormat="1" applyFill="1" applyBorder="1"/>
    <xf numFmtId="37" fontId="0" fillId="0" borderId="4" xfId="0" applyNumberFormat="1" applyFill="1" applyBorder="1"/>
    <xf numFmtId="0" fontId="0" fillId="0" borderId="4" xfId="0" applyFill="1" applyBorder="1"/>
    <xf numFmtId="37" fontId="4" fillId="0" borderId="4" xfId="0" applyNumberFormat="1" applyFont="1" applyBorder="1"/>
    <xf numFmtId="7" fontId="0" fillId="4" borderId="4" xfId="0" applyNumberFormat="1" applyFill="1" applyBorder="1"/>
    <xf numFmtId="0" fontId="7" fillId="0" borderId="8" xfId="0" applyFont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37" fontId="0" fillId="0" borderId="10" xfId="0" applyNumberFormat="1" applyFill="1" applyBorder="1"/>
    <xf numFmtId="0" fontId="0" fillId="5" borderId="11" xfId="0" applyFill="1" applyBorder="1"/>
    <xf numFmtId="3" fontId="0" fillId="5" borderId="11" xfId="0" applyNumberFormat="1" applyFill="1" applyBorder="1"/>
    <xf numFmtId="37" fontId="0" fillId="5" borderId="11" xfId="0" applyNumberFormat="1" applyFill="1" applyBorder="1"/>
    <xf numFmtId="3" fontId="0" fillId="5" borderId="9" xfId="0" applyNumberFormat="1" applyFill="1" applyBorder="1"/>
    <xf numFmtId="37" fontId="0" fillId="5" borderId="9" xfId="0" applyNumberFormat="1" applyFill="1" applyBorder="1"/>
    <xf numFmtId="37" fontId="9" fillId="6" borderId="4" xfId="0" applyNumberFormat="1" applyFont="1" applyFill="1" applyBorder="1"/>
    <xf numFmtId="37" fontId="9" fillId="6" borderId="14" xfId="0" applyNumberFormat="1" applyFont="1" applyFill="1" applyBorder="1"/>
    <xf numFmtId="164" fontId="7" fillId="0" borderId="9" xfId="1" applyNumberFormat="1" applyFont="1" applyBorder="1" applyAlignment="1">
      <alignment horizontal="center"/>
    </xf>
    <xf numFmtId="164" fontId="7" fillId="0" borderId="8" xfId="1" applyNumberFormat="1" applyFont="1" applyBorder="1" applyAlignment="1">
      <alignment horizontal="center"/>
    </xf>
    <xf numFmtId="164" fontId="0" fillId="5" borderId="11" xfId="1" applyNumberFormat="1" applyFont="1" applyFill="1" applyBorder="1"/>
    <xf numFmtId="164" fontId="0" fillId="0" borderId="4" xfId="1" applyNumberFormat="1" applyFont="1" applyBorder="1"/>
    <xf numFmtId="164" fontId="0" fillId="0" borderId="4" xfId="1" applyNumberFormat="1" applyFont="1" applyFill="1" applyBorder="1"/>
    <xf numFmtId="164" fontId="0" fillId="5" borderId="9" xfId="1" applyNumberFormat="1" applyFont="1" applyFill="1" applyBorder="1"/>
    <xf numFmtId="164" fontId="0" fillId="0" borderId="1" xfId="1" applyNumberFormat="1" applyFont="1" applyBorder="1"/>
    <xf numFmtId="37" fontId="0" fillId="0" borderId="4" xfId="1" applyNumberFormat="1" applyFont="1" applyBorder="1"/>
    <xf numFmtId="37" fontId="9" fillId="6" borderId="4" xfId="1" applyNumberFormat="1" applyFont="1" applyFill="1" applyBorder="1"/>
    <xf numFmtId="37" fontId="9" fillId="6" borderId="14" xfId="1" applyNumberFormat="1" applyFont="1" applyFill="1" applyBorder="1"/>
    <xf numFmtId="37" fontId="0" fillId="0" borderId="10" xfId="1" applyNumberFormat="1" applyFont="1" applyBorder="1"/>
    <xf numFmtId="0" fontId="0" fillId="5" borderId="12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10" fontId="0" fillId="0" borderId="6" xfId="0" applyNumberFormat="1" applyFill="1" applyBorder="1" applyAlignment="1">
      <alignment horizontal="right"/>
    </xf>
    <xf numFmtId="0" fontId="0" fillId="5" borderId="13" xfId="0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0" borderId="0" xfId="0" applyAlignment="1">
      <alignment horizontal="right"/>
    </xf>
    <xf numFmtId="0" fontId="6" fillId="0" borderId="15" xfId="0" applyFont="1" applyBorder="1"/>
    <xf numFmtId="0" fontId="9" fillId="4" borderId="16" xfId="0" applyFont="1" applyFill="1" applyBorder="1"/>
    <xf numFmtId="0" fontId="8" fillId="4" borderId="9" xfId="0" applyFont="1" applyFill="1" applyBorder="1"/>
    <xf numFmtId="164" fontId="0" fillId="4" borderId="9" xfId="1" applyNumberFormat="1" applyFont="1" applyFill="1" applyBorder="1"/>
    <xf numFmtId="0" fontId="0" fillId="4" borderId="9" xfId="0" applyFill="1" applyBorder="1"/>
    <xf numFmtId="0" fontId="0" fillId="4" borderId="13" xfId="0" applyFill="1" applyBorder="1" applyAlignment="1">
      <alignment horizontal="right"/>
    </xf>
    <xf numFmtId="0" fontId="6" fillId="4" borderId="17" xfId="0" applyFont="1" applyFill="1" applyBorder="1" applyAlignment="1">
      <alignment horizontal="right"/>
    </xf>
    <xf numFmtId="0" fontId="0" fillId="5" borderId="18" xfId="0" applyFill="1" applyBorder="1"/>
    <xf numFmtId="0" fontId="9" fillId="0" borderId="17" xfId="0" applyFont="1" applyBorder="1"/>
    <xf numFmtId="0" fontId="6" fillId="0" borderId="17" xfId="0" applyFont="1" applyBorder="1"/>
    <xf numFmtId="0" fontId="4" fillId="0" borderId="17" xfId="0" applyFont="1" applyBorder="1"/>
    <xf numFmtId="0" fontId="9" fillId="6" borderId="17" xfId="0" applyFont="1" applyFill="1" applyBorder="1" applyAlignment="1">
      <alignment horizontal="right"/>
    </xf>
    <xf numFmtId="10" fontId="9" fillId="6" borderId="19" xfId="0" applyNumberFormat="1" applyFont="1" applyFill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0" fillId="0" borderId="17" xfId="0" applyBorder="1"/>
    <xf numFmtId="0" fontId="0" fillId="5" borderId="16" xfId="0" applyFill="1" applyBorder="1"/>
    <xf numFmtId="0" fontId="9" fillId="0" borderId="20" xfId="0" applyFont="1" applyBorder="1"/>
    <xf numFmtId="0" fontId="8" fillId="0" borderId="17" xfId="0" applyFont="1" applyBorder="1"/>
    <xf numFmtId="0" fontId="9" fillId="6" borderId="21" xfId="0" applyFont="1" applyFill="1" applyBorder="1" applyAlignment="1">
      <alignment horizontal="right"/>
    </xf>
    <xf numFmtId="0" fontId="0" fillId="5" borderId="22" xfId="0" applyFill="1" applyBorder="1"/>
    <xf numFmtId="0" fontId="8" fillId="5" borderId="3" xfId="0" applyFont="1" applyFill="1" applyBorder="1"/>
    <xf numFmtId="164" fontId="0" fillId="5" borderId="3" xfId="1" applyNumberFormat="1" applyFont="1" applyFill="1" applyBorder="1"/>
    <xf numFmtId="0" fontId="0" fillId="5" borderId="3" xfId="0" applyFill="1" applyBorder="1"/>
    <xf numFmtId="0" fontId="0" fillId="5" borderId="7" xfId="0" applyFill="1" applyBorder="1" applyAlignment="1">
      <alignment horizontal="right"/>
    </xf>
    <xf numFmtId="0" fontId="0" fillId="0" borderId="16" xfId="0" applyBorder="1"/>
    <xf numFmtId="0" fontId="7" fillId="0" borderId="13" xfId="0" applyFont="1" applyFill="1" applyBorder="1" applyAlignment="1">
      <alignment horizontal="center"/>
    </xf>
    <xf numFmtId="0" fontId="0" fillId="0" borderId="23" xfId="0" applyBorder="1"/>
    <xf numFmtId="0" fontId="7" fillId="0" borderId="24" xfId="0" applyFont="1" applyFill="1" applyBorder="1" applyAlignment="1">
      <alignment horizontal="center"/>
    </xf>
    <xf numFmtId="0" fontId="12" fillId="5" borderId="25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164" fontId="12" fillId="5" borderId="1" xfId="1" applyNumberFormat="1" applyFont="1" applyFill="1" applyBorder="1" applyAlignment="1">
      <alignment horizontal="center"/>
    </xf>
    <xf numFmtId="0" fontId="12" fillId="5" borderId="5" xfId="0" applyFont="1" applyFill="1" applyBorder="1" applyAlignment="1">
      <alignment horizontal="right"/>
    </xf>
    <xf numFmtId="0" fontId="9" fillId="0" borderId="25" xfId="0" applyFont="1" applyBorder="1"/>
    <xf numFmtId="7" fontId="0" fillId="4" borderId="4" xfId="2" applyNumberFormat="1" applyFont="1" applyFill="1" applyBorder="1"/>
    <xf numFmtId="3" fontId="0" fillId="0" borderId="4" xfId="0" applyNumberFormat="1" applyFill="1" applyBorder="1"/>
    <xf numFmtId="164" fontId="0" fillId="0" borderId="4" xfId="1" applyNumberFormat="1" applyFont="1" applyBorder="1"/>
    <xf numFmtId="37" fontId="0" fillId="0" borderId="4" xfId="1" applyNumberFormat="1" applyFont="1" applyBorder="1"/>
    <xf numFmtId="37" fontId="0" fillId="0" borderId="4" xfId="1" applyNumberFormat="1" applyFont="1" applyFill="1" applyBorder="1"/>
    <xf numFmtId="37" fontId="4" fillId="0" borderId="4" xfId="0" applyNumberFormat="1" applyFont="1" applyFill="1" applyBorder="1"/>
    <xf numFmtId="37" fontId="4" fillId="0" borderId="4" xfId="0" applyNumberFormat="1" applyFont="1" applyFill="1" applyBorder="1"/>
    <xf numFmtId="37" fontId="4" fillId="0" borderId="4" xfId="0" applyNumberFormat="1" applyFont="1" applyBorder="1"/>
    <xf numFmtId="37" fontId="0" fillId="0" borderId="4" xfId="1" applyNumberFormat="1" applyFont="1" applyBorder="1"/>
    <xf numFmtId="37" fontId="4" fillId="0" borderId="4" xfId="0" applyNumberFormat="1" applyFont="1" applyBorder="1"/>
    <xf numFmtId="37" fontId="0" fillId="0" borderId="4" xfId="1" applyNumberFormat="1" applyFont="1" applyBorder="1"/>
    <xf numFmtId="0" fontId="4" fillId="0" borderId="26" xfId="0" applyFont="1" applyBorder="1"/>
    <xf numFmtId="0" fontId="4" fillId="0" borderId="27" xfId="0" applyFont="1" applyFill="1" applyBorder="1"/>
    <xf numFmtId="0" fontId="0" fillId="0" borderId="0" xfId="0" applyFill="1" applyBorder="1"/>
    <xf numFmtId="0" fontId="4" fillId="0" borderId="0" xfId="0" applyFont="1" applyBorder="1"/>
    <xf numFmtId="0" fontId="4" fillId="0" borderId="2" xfId="0" applyFont="1" applyBorder="1"/>
    <xf numFmtId="164" fontId="0" fillId="0" borderId="2" xfId="1" applyNumberFormat="1" applyFont="1" applyBorder="1"/>
    <xf numFmtId="164" fontId="0" fillId="0" borderId="0" xfId="1" applyNumberFormat="1" applyFont="1" applyBorder="1"/>
    <xf numFmtId="37" fontId="4" fillId="0" borderId="4" xfId="0" applyNumberFormat="1" applyFont="1" applyFill="1" applyBorder="1"/>
    <xf numFmtId="7" fontId="0" fillId="4" borderId="4" xfId="2" applyNumberFormat="1" applyFont="1" applyFill="1" applyBorder="1"/>
    <xf numFmtId="0" fontId="6" fillId="0" borderId="15" xfId="0" applyFont="1" applyFill="1" applyBorder="1"/>
    <xf numFmtId="0" fontId="4" fillId="0" borderId="17" xfId="0" applyFont="1" applyFill="1" applyBorder="1"/>
    <xf numFmtId="0" fontId="0" fillId="0" borderId="0" xfId="0" applyFont="1"/>
    <xf numFmtId="0" fontId="36" fillId="0" borderId="3" xfId="0" applyFont="1" applyBorder="1" applyAlignment="1">
      <alignment horizontal="center"/>
    </xf>
    <xf numFmtId="0" fontId="31" fillId="0" borderId="3" xfId="0" applyFont="1" applyBorder="1" applyAlignment="1">
      <alignment horizontal="center" wrapText="1"/>
    </xf>
    <xf numFmtId="0" fontId="0" fillId="0" borderId="0" xfId="0" applyFont="1" applyFill="1" applyAlignment="1">
      <alignment wrapText="1"/>
    </xf>
    <xf numFmtId="165" fontId="0" fillId="39" borderId="37" xfId="0" applyNumberFormat="1" applyFont="1" applyFill="1" applyBorder="1"/>
    <xf numFmtId="165" fontId="0" fillId="0" borderId="0" xfId="0" applyNumberFormat="1" applyFont="1" applyFill="1"/>
    <xf numFmtId="9" fontId="0" fillId="0" borderId="0" xfId="140" applyFont="1"/>
    <xf numFmtId="0" fontId="0" fillId="0" borderId="0" xfId="0" applyFont="1" applyFill="1" applyAlignment="1">
      <alignment horizontal="left" wrapText="1" indent="2"/>
    </xf>
    <xf numFmtId="0" fontId="0" fillId="4" borderId="0" xfId="0" applyFont="1" applyFill="1" applyAlignment="1">
      <alignment wrapText="1"/>
    </xf>
    <xf numFmtId="165" fontId="0" fillId="4" borderId="0" xfId="0" applyNumberFormat="1" applyFont="1" applyFill="1"/>
    <xf numFmtId="0" fontId="0" fillId="4" borderId="0" xfId="0" applyFont="1" applyFill="1"/>
    <xf numFmtId="0" fontId="0" fillId="0" borderId="0" xfId="0" applyFont="1" applyAlignment="1">
      <alignment horizontal="left" wrapText="1" indent="2"/>
    </xf>
    <xf numFmtId="0" fontId="0" fillId="0" borderId="0" xfId="0" applyFont="1" applyAlignment="1">
      <alignment wrapText="1"/>
    </xf>
    <xf numFmtId="165" fontId="0" fillId="39" borderId="37" xfId="0" applyNumberFormat="1" applyFont="1" applyFill="1" applyBorder="1" applyAlignment="1">
      <alignment horizontal="right"/>
    </xf>
    <xf numFmtId="0" fontId="0" fillId="0" borderId="0" xfId="0" applyFont="1" applyAlignment="1">
      <alignment horizontal="left" wrapText="1" inden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/>
    <xf numFmtId="8" fontId="0" fillId="0" borderId="38" xfId="0" applyNumberFormat="1" applyFont="1" applyBorder="1"/>
    <xf numFmtId="165" fontId="0" fillId="0" borderId="38" xfId="0" applyNumberFormat="1" applyFont="1" applyBorder="1"/>
    <xf numFmtId="0" fontId="31" fillId="39" borderId="3" xfId="0" applyFont="1" applyFill="1" applyBorder="1" applyAlignment="1">
      <alignment vertical="center" wrapText="1"/>
    </xf>
    <xf numFmtId="0" fontId="0" fillId="0" borderId="39" xfId="0" applyFill="1" applyBorder="1"/>
    <xf numFmtId="0" fontId="0" fillId="0" borderId="40" xfId="0" applyFill="1" applyBorder="1"/>
    <xf numFmtId="0" fontId="36" fillId="0" borderId="3" xfId="0" applyFont="1" applyBorder="1" applyAlignment="1">
      <alignment horizontal="center"/>
    </xf>
    <xf numFmtId="0" fontId="0" fillId="38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8" fillId="41" borderId="26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31" fillId="39" borderId="25" xfId="0" applyFont="1" applyFill="1" applyBorder="1" applyAlignment="1">
      <alignment vertical="center" wrapText="1"/>
    </xf>
    <xf numFmtId="0" fontId="31" fillId="42" borderId="25" xfId="0" applyFont="1" applyFill="1" applyBorder="1" applyAlignment="1">
      <alignment vertical="center" wrapText="1"/>
    </xf>
    <xf numFmtId="0" fontId="31" fillId="0" borderId="41" xfId="0" applyFont="1" applyBorder="1" applyAlignment="1">
      <alignment horizontal="center" wrapText="1"/>
    </xf>
    <xf numFmtId="0" fontId="31" fillId="0" borderId="25" xfId="0" applyFont="1" applyBorder="1" applyAlignment="1">
      <alignment horizontal="center" wrapText="1"/>
    </xf>
    <xf numFmtId="0" fontId="31" fillId="0" borderId="1" xfId="0" applyFont="1" applyBorder="1" applyAlignment="1">
      <alignment horizontal="center" wrapText="1"/>
    </xf>
    <xf numFmtId="0" fontId="31" fillId="0" borderId="5" xfId="0" applyFont="1" applyBorder="1" applyAlignment="1">
      <alignment horizontal="center" wrapText="1"/>
    </xf>
    <xf numFmtId="0" fontId="31" fillId="42" borderId="1" xfId="0" applyFont="1" applyFill="1" applyBorder="1" applyAlignment="1">
      <alignment horizontal="center" wrapText="1"/>
    </xf>
    <xf numFmtId="0" fontId="31" fillId="0" borderId="37" xfId="0" applyFont="1" applyBorder="1" applyAlignment="1">
      <alignment horizontal="center" wrapText="1"/>
    </xf>
    <xf numFmtId="0" fontId="0" fillId="42" borderId="42" xfId="0" applyFont="1" applyFill="1" applyBorder="1" applyAlignment="1">
      <alignment horizontal="center"/>
    </xf>
    <xf numFmtId="0" fontId="0" fillId="42" borderId="26" xfId="0" applyFont="1" applyFill="1" applyBorder="1" applyAlignment="1">
      <alignment horizontal="center"/>
    </xf>
    <xf numFmtId="0" fontId="0" fillId="0" borderId="25" xfId="0" applyFont="1" applyFill="1" applyBorder="1" applyAlignment="1">
      <alignment wrapText="1"/>
    </xf>
    <xf numFmtId="0" fontId="0" fillId="42" borderId="25" xfId="0" applyFont="1" applyFill="1" applyBorder="1" applyAlignment="1">
      <alignment wrapText="1"/>
    </xf>
    <xf numFmtId="164" fontId="0" fillId="0" borderId="41" xfId="1" applyNumberFormat="1" applyFont="1" applyBorder="1" applyAlignment="1">
      <alignment horizontal="right"/>
    </xf>
    <xf numFmtId="164" fontId="0" fillId="40" borderId="18" xfId="1" applyNumberFormat="1" applyFont="1" applyFill="1" applyBorder="1" applyAlignment="1">
      <alignment horizontal="right"/>
    </xf>
    <xf numFmtId="164" fontId="0" fillId="0" borderId="11" xfId="1" applyNumberFormat="1" applyFont="1" applyBorder="1" applyAlignment="1">
      <alignment horizontal="right"/>
    </xf>
    <xf numFmtId="164" fontId="0" fillId="40" borderId="12" xfId="1" applyNumberFormat="1" applyFont="1" applyFill="1" applyBorder="1" applyAlignment="1">
      <alignment horizontal="right"/>
    </xf>
    <xf numFmtId="164" fontId="0" fillId="42" borderId="1" xfId="1" applyNumberFormat="1" applyFont="1" applyFill="1" applyBorder="1" applyAlignment="1">
      <alignment horizontal="right"/>
    </xf>
    <xf numFmtId="164" fontId="0" fillId="0" borderId="43" xfId="1" applyNumberFormat="1" applyFont="1" applyBorder="1" applyAlignment="1">
      <alignment horizontal="right"/>
    </xf>
    <xf numFmtId="164" fontId="0" fillId="40" borderId="11" xfId="1" applyNumberFormat="1" applyFont="1" applyFill="1" applyBorder="1" applyAlignment="1">
      <alignment horizontal="right"/>
    </xf>
    <xf numFmtId="164" fontId="0" fillId="40" borderId="44" xfId="1" applyNumberFormat="1" applyFont="1" applyFill="1" applyBorder="1" applyAlignment="1">
      <alignment horizontal="right"/>
    </xf>
    <xf numFmtId="164" fontId="40" fillId="43" borderId="41" xfId="1" applyNumberFormat="1" applyFont="1" applyFill="1" applyBorder="1" applyAlignment="1">
      <alignment horizontal="right"/>
    </xf>
    <xf numFmtId="0" fontId="40" fillId="42" borderId="37" xfId="0" applyFont="1" applyFill="1" applyBorder="1"/>
    <xf numFmtId="0" fontId="0" fillId="42" borderId="37" xfId="0" applyFont="1" applyFill="1" applyBorder="1"/>
    <xf numFmtId="0" fontId="0" fillId="42" borderId="45" xfId="0" applyFont="1" applyFill="1" applyBorder="1" applyAlignment="1">
      <alignment horizontal="center"/>
    </xf>
    <xf numFmtId="0" fontId="0" fillId="42" borderId="27" xfId="0" applyFont="1" applyFill="1" applyBorder="1" applyAlignment="1">
      <alignment horizontal="center"/>
    </xf>
    <xf numFmtId="0" fontId="0" fillId="42" borderId="27" xfId="0" applyFont="1" applyFill="1" applyBorder="1" applyAlignment="1">
      <alignment wrapText="1"/>
    </xf>
    <xf numFmtId="164" fontId="0" fillId="42" borderId="45" xfId="1" applyNumberFormat="1" applyFont="1" applyFill="1" applyBorder="1" applyAlignment="1">
      <alignment horizontal="right"/>
    </xf>
    <xf numFmtId="164" fontId="0" fillId="42" borderId="27" xfId="1" applyNumberFormat="1" applyFont="1" applyFill="1" applyBorder="1" applyAlignment="1">
      <alignment horizontal="right"/>
    </xf>
    <xf numFmtId="164" fontId="0" fillId="42" borderId="0" xfId="1" applyNumberFormat="1" applyFont="1" applyFill="1" applyBorder="1" applyAlignment="1">
      <alignment horizontal="right"/>
    </xf>
    <xf numFmtId="164" fontId="0" fillId="42" borderId="40" xfId="1" applyNumberFormat="1" applyFont="1" applyFill="1" applyBorder="1" applyAlignment="1">
      <alignment horizontal="right"/>
    </xf>
    <xf numFmtId="44" fontId="41" fillId="42" borderId="45" xfId="2" applyFont="1" applyFill="1" applyBorder="1" applyAlignment="1">
      <alignment horizontal="right"/>
    </xf>
    <xf numFmtId="0" fontId="0" fillId="0" borderId="45" xfId="0" applyFont="1" applyBorder="1" applyAlignment="1">
      <alignment horizontal="center"/>
    </xf>
    <xf numFmtId="0" fontId="4" fillId="0" borderId="25" xfId="0" applyFont="1" applyFill="1" applyBorder="1" applyAlignment="1">
      <alignment wrapText="1"/>
    </xf>
    <xf numFmtId="0" fontId="4" fillId="42" borderId="25" xfId="0" applyFont="1" applyFill="1" applyBorder="1" applyAlignment="1">
      <alignment wrapText="1"/>
    </xf>
    <xf numFmtId="44" fontId="40" fillId="44" borderId="41" xfId="2" applyFont="1" applyFill="1" applyBorder="1" applyAlignment="1">
      <alignment horizontal="right"/>
    </xf>
    <xf numFmtId="44" fontId="0" fillId="0" borderId="25" xfId="2" applyFont="1" applyFill="1" applyBorder="1"/>
    <xf numFmtId="44" fontId="0" fillId="0" borderId="1" xfId="2" applyFont="1" applyFill="1" applyBorder="1"/>
    <xf numFmtId="44" fontId="0" fillId="0" borderId="5" xfId="2" applyFont="1" applyFill="1" applyBorder="1"/>
    <xf numFmtId="44" fontId="0" fillId="42" borderId="1" xfId="2" applyFont="1" applyFill="1" applyBorder="1"/>
    <xf numFmtId="44" fontId="0" fillId="42" borderId="2" xfId="2" applyFont="1" applyFill="1" applyBorder="1"/>
    <xf numFmtId="166" fontId="40" fillId="44" borderId="42" xfId="2" applyNumberFormat="1" applyFont="1" applyFill="1" applyBorder="1"/>
    <xf numFmtId="9" fontId="0" fillId="0" borderId="37" xfId="52" applyFont="1" applyBorder="1"/>
    <xf numFmtId="44" fontId="40" fillId="43" borderId="41" xfId="2" applyFont="1" applyFill="1" applyBorder="1" applyAlignment="1">
      <alignment horizontal="right"/>
    </xf>
    <xf numFmtId="166" fontId="40" fillId="43" borderId="42" xfId="2" applyNumberFormat="1" applyFont="1" applyFill="1" applyBorder="1"/>
    <xf numFmtId="44" fontId="0" fillId="42" borderId="45" xfId="2" applyFont="1" applyFill="1" applyBorder="1" applyAlignment="1">
      <alignment horizontal="right"/>
    </xf>
    <xf numFmtId="44" fontId="0" fillId="42" borderId="27" xfId="2" applyFont="1" applyFill="1" applyBorder="1"/>
    <xf numFmtId="44" fontId="0" fillId="42" borderId="0" xfId="2" applyFont="1" applyFill="1" applyBorder="1"/>
    <xf numFmtId="44" fontId="0" fillId="42" borderId="40" xfId="2" applyFont="1" applyFill="1" applyBorder="1"/>
    <xf numFmtId="166" fontId="0" fillId="42" borderId="42" xfId="2" applyNumberFormat="1" applyFont="1" applyFill="1" applyBorder="1"/>
    <xf numFmtId="166" fontId="40" fillId="42" borderId="42" xfId="2" applyNumberFormat="1" applyFont="1" applyFill="1" applyBorder="1"/>
    <xf numFmtId="0" fontId="0" fillId="0" borderId="42" xfId="0" applyFont="1" applyFill="1" applyBorder="1" applyAlignment="1">
      <alignment horizontal="center"/>
    </xf>
    <xf numFmtId="44" fontId="0" fillId="39" borderId="46" xfId="2" applyFont="1" applyFill="1" applyBorder="1" applyProtection="1"/>
    <xf numFmtId="0" fontId="4" fillId="0" borderId="26" xfId="0" applyFont="1" applyFill="1" applyBorder="1" applyAlignment="1">
      <alignment horizontal="left" vertical="center" wrapText="1"/>
    </xf>
    <xf numFmtId="0" fontId="4" fillId="42" borderId="26" xfId="0" applyFont="1" applyFill="1" applyBorder="1" applyAlignment="1">
      <alignment wrapText="1"/>
    </xf>
    <xf numFmtId="44" fontId="0" fillId="39" borderId="47" xfId="2" applyFont="1" applyFill="1" applyBorder="1"/>
    <xf numFmtId="44" fontId="0" fillId="0" borderId="48" xfId="2" applyFont="1" applyFill="1" applyBorder="1"/>
    <xf numFmtId="44" fontId="0" fillId="0" borderId="49" xfId="2" applyFont="1" applyFill="1" applyBorder="1"/>
    <xf numFmtId="44" fontId="0" fillId="0" borderId="50" xfId="2" applyFont="1" applyFill="1" applyBorder="1"/>
    <xf numFmtId="44" fontId="0" fillId="42" borderId="46" xfId="2" applyFont="1" applyFill="1" applyBorder="1"/>
    <xf numFmtId="44" fontId="0" fillId="0" borderId="51" xfId="2" applyFont="1" applyFill="1" applyBorder="1"/>
    <xf numFmtId="166" fontId="0" fillId="0" borderId="47" xfId="2" applyNumberFormat="1" applyFont="1" applyFill="1" applyBorder="1"/>
    <xf numFmtId="166" fontId="4" fillId="0" borderId="47" xfId="2" applyNumberFormat="1" applyFont="1" applyFill="1" applyBorder="1"/>
    <xf numFmtId="0" fontId="0" fillId="0" borderId="52" xfId="0" applyFont="1" applyBorder="1" applyAlignment="1">
      <alignment horizontal="center"/>
    </xf>
    <xf numFmtId="44" fontId="0" fillId="39" borderId="53" xfId="2" applyFont="1" applyFill="1" applyBorder="1" applyProtection="1"/>
    <xf numFmtId="0" fontId="4" fillId="0" borderId="27" xfId="0" applyFont="1" applyBorder="1" applyAlignment="1">
      <alignment horizontal="left" vertical="center"/>
    </xf>
    <xf numFmtId="0" fontId="4" fillId="42" borderId="27" xfId="0" applyFont="1" applyFill="1" applyBorder="1"/>
    <xf numFmtId="44" fontId="0" fillId="39" borderId="52" xfId="2" applyFont="1" applyFill="1" applyBorder="1"/>
    <xf numFmtId="44" fontId="0" fillId="0" borderId="54" xfId="2" applyFont="1" applyFill="1" applyBorder="1"/>
    <xf numFmtId="44" fontId="0" fillId="0" borderId="37" xfId="2" applyFont="1" applyFill="1" applyBorder="1"/>
    <xf numFmtId="44" fontId="0" fillId="0" borderId="55" xfId="2" applyFont="1" applyFill="1" applyBorder="1"/>
    <xf numFmtId="44" fontId="0" fillId="42" borderId="53" xfId="2" applyFont="1" applyFill="1" applyBorder="1"/>
    <xf numFmtId="44" fontId="0" fillId="0" borderId="56" xfId="2" applyFont="1" applyFill="1" applyBorder="1"/>
    <xf numFmtId="166" fontId="0" fillId="0" borderId="52" xfId="2" applyNumberFormat="1" applyFont="1" applyFill="1" applyBorder="1"/>
    <xf numFmtId="166" fontId="4" fillId="0" borderId="52" xfId="2" applyNumberFormat="1" applyFont="1" applyFill="1" applyBorder="1"/>
    <xf numFmtId="44" fontId="0" fillId="39" borderId="57" xfId="2" applyFont="1" applyFill="1" applyBorder="1" applyProtection="1"/>
    <xf numFmtId="0" fontId="0" fillId="3" borderId="45" xfId="0" applyFont="1" applyFill="1" applyBorder="1" applyAlignment="1">
      <alignment horizontal="center"/>
    </xf>
    <xf numFmtId="44" fontId="0" fillId="39" borderId="58" xfId="2" applyFont="1" applyFill="1" applyBorder="1"/>
    <xf numFmtId="44" fontId="0" fillId="0" borderId="59" xfId="2" applyFont="1" applyFill="1" applyBorder="1"/>
    <xf numFmtId="44" fontId="0" fillId="0" borderId="10" xfId="2" applyFont="1" applyFill="1" applyBorder="1"/>
    <xf numFmtId="44" fontId="0" fillId="0" borderId="60" xfId="2" applyFont="1" applyFill="1" applyBorder="1"/>
    <xf numFmtId="44" fontId="0" fillId="42" borderId="57" xfId="2" applyFont="1" applyFill="1" applyBorder="1"/>
    <xf numFmtId="44" fontId="0" fillId="0" borderId="61" xfId="2" applyFont="1" applyFill="1" applyBorder="1"/>
    <xf numFmtId="166" fontId="0" fillId="0" borderId="58" xfId="2" applyNumberFormat="1" applyFont="1" applyFill="1" applyBorder="1"/>
    <xf numFmtId="166" fontId="4" fillId="0" borderId="58" xfId="2" applyNumberFormat="1" applyFont="1" applyFill="1" applyBorder="1"/>
    <xf numFmtId="0" fontId="0" fillId="0" borderId="41" xfId="0" applyFont="1" applyBorder="1" applyAlignment="1">
      <alignment horizontal="center"/>
    </xf>
    <xf numFmtId="44" fontId="0" fillId="39" borderId="1" xfId="2" applyFont="1" applyFill="1" applyBorder="1" applyProtection="1"/>
    <xf numFmtId="0" fontId="4" fillId="0" borderId="25" xfId="0" applyFont="1" applyFill="1" applyBorder="1" applyAlignment="1">
      <alignment horizontal="left" vertical="center" wrapText="1"/>
    </xf>
    <xf numFmtId="44" fontId="0" fillId="39" borderId="41" xfId="2" applyFont="1" applyFill="1" applyBorder="1"/>
    <xf numFmtId="44" fontId="0" fillId="0" borderId="43" xfId="2" applyFont="1" applyFill="1" applyBorder="1"/>
    <xf numFmtId="44" fontId="0" fillId="0" borderId="11" xfId="2" applyFont="1" applyFill="1" applyBorder="1"/>
    <xf numFmtId="44" fontId="0" fillId="0" borderId="12" xfId="2" applyFont="1" applyFill="1" applyBorder="1"/>
    <xf numFmtId="44" fontId="0" fillId="0" borderId="44" xfId="2" applyFont="1" applyFill="1" applyBorder="1"/>
    <xf numFmtId="166" fontId="0" fillId="0" borderId="41" xfId="2" applyNumberFormat="1" applyFont="1" applyFill="1" applyBorder="1"/>
    <xf numFmtId="166" fontId="4" fillId="0" borderId="41" xfId="2" applyNumberFormat="1" applyFont="1" applyFill="1" applyBorder="1"/>
    <xf numFmtId="44" fontId="0" fillId="39" borderId="0" xfId="2" applyFont="1" applyFill="1" applyBorder="1" applyProtection="1"/>
    <xf numFmtId="0" fontId="4" fillId="0" borderId="42" xfId="0" applyFont="1" applyFill="1" applyBorder="1" applyAlignment="1">
      <alignment horizontal="left" vertical="center" wrapText="1"/>
    </xf>
    <xf numFmtId="0" fontId="4" fillId="42" borderId="0" xfId="0" applyFont="1" applyFill="1" applyBorder="1" applyAlignment="1">
      <alignment wrapText="1"/>
    </xf>
    <xf numFmtId="44" fontId="0" fillId="39" borderId="45" xfId="2" applyFont="1" applyFill="1" applyBorder="1"/>
    <xf numFmtId="44" fontId="0" fillId="0" borderId="62" xfId="2" applyFont="1" applyFill="1" applyBorder="1"/>
    <xf numFmtId="44" fontId="0" fillId="0" borderId="4" xfId="2" applyFont="1" applyFill="1" applyBorder="1"/>
    <xf numFmtId="44" fontId="0" fillId="0" borderId="6" xfId="2" applyFont="1" applyFill="1" applyBorder="1"/>
    <xf numFmtId="44" fontId="0" fillId="0" borderId="15" xfId="2" applyFont="1" applyFill="1" applyBorder="1"/>
    <xf numFmtId="166" fontId="0" fillId="0" borderId="45" xfId="2" applyNumberFormat="1" applyFont="1" applyFill="1" applyBorder="1"/>
    <xf numFmtId="166" fontId="4" fillId="0" borderId="45" xfId="2" applyNumberFormat="1" applyFont="1" applyFill="1" applyBorder="1"/>
    <xf numFmtId="0" fontId="0" fillId="0" borderId="52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left" vertical="center" wrapText="1"/>
    </xf>
    <xf numFmtId="0" fontId="4" fillId="42" borderId="53" xfId="0" applyFont="1" applyFill="1" applyBorder="1" applyAlignment="1">
      <alignment wrapText="1"/>
    </xf>
    <xf numFmtId="44" fontId="0" fillId="42" borderId="54" xfId="2" applyFont="1" applyFill="1" applyBorder="1"/>
    <xf numFmtId="44" fontId="0" fillId="42" borderId="56" xfId="2" applyFont="1" applyFill="1" applyBorder="1"/>
    <xf numFmtId="0" fontId="4" fillId="0" borderId="63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42" borderId="27" xfId="0" applyFont="1" applyFill="1" applyBorder="1" applyAlignment="1">
      <alignment wrapText="1"/>
    </xf>
    <xf numFmtId="44" fontId="0" fillId="39" borderId="64" xfId="2" applyFont="1" applyFill="1" applyBorder="1"/>
    <xf numFmtId="44" fontId="0" fillId="0" borderId="65" xfId="2" applyFont="1" applyFill="1" applyBorder="1"/>
    <xf numFmtId="44" fontId="0" fillId="0" borderId="14" xfId="2" applyFont="1" applyFill="1" applyBorder="1"/>
    <xf numFmtId="44" fontId="0" fillId="0" borderId="19" xfId="2" applyFont="1" applyFill="1" applyBorder="1"/>
    <xf numFmtId="44" fontId="0" fillId="42" borderId="66" xfId="2" applyFont="1" applyFill="1" applyBorder="1"/>
    <xf numFmtId="44" fontId="0" fillId="0" borderId="67" xfId="2" applyFont="1" applyFill="1" applyBorder="1"/>
    <xf numFmtId="166" fontId="0" fillId="0" borderId="64" xfId="2" applyNumberFormat="1" applyFont="1" applyFill="1" applyBorder="1"/>
    <xf numFmtId="166" fontId="4" fillId="0" borderId="64" xfId="2" applyNumberFormat="1" applyFont="1" applyFill="1" applyBorder="1"/>
    <xf numFmtId="0" fontId="4" fillId="0" borderId="68" xfId="0" applyFont="1" applyFill="1" applyBorder="1" applyAlignment="1">
      <alignment horizontal="left" vertical="center" wrapText="1"/>
    </xf>
    <xf numFmtId="0" fontId="4" fillId="42" borderId="68" xfId="0" applyFont="1" applyFill="1" applyBorder="1" applyAlignment="1">
      <alignment wrapText="1"/>
    </xf>
    <xf numFmtId="0" fontId="0" fillId="3" borderId="52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left" vertical="center" wrapText="1"/>
    </xf>
    <xf numFmtId="0" fontId="4" fillId="42" borderId="69" xfId="0" applyFont="1" applyFill="1" applyBorder="1" applyAlignment="1">
      <alignment wrapText="1"/>
    </xf>
    <xf numFmtId="164" fontId="0" fillId="0" borderId="0" xfId="0" applyNumberFormat="1" applyFont="1"/>
    <xf numFmtId="0" fontId="0" fillId="0" borderId="63" xfId="0" applyFont="1" applyBorder="1" applyAlignment="1">
      <alignment horizontal="center"/>
    </xf>
    <xf numFmtId="44" fontId="0" fillId="39" borderId="38" xfId="2" applyFont="1" applyFill="1" applyBorder="1" applyProtection="1"/>
    <xf numFmtId="0" fontId="4" fillId="0" borderId="70" xfId="0" applyFont="1" applyFill="1" applyBorder="1" applyAlignment="1">
      <alignment horizontal="left" vertical="center" wrapText="1"/>
    </xf>
    <xf numFmtId="0" fontId="4" fillId="42" borderId="70" xfId="0" applyFont="1" applyFill="1" applyBorder="1" applyAlignment="1">
      <alignment wrapText="1"/>
    </xf>
    <xf numFmtId="44" fontId="0" fillId="39" borderId="71" xfId="2" applyFont="1" applyFill="1" applyBorder="1"/>
    <xf numFmtId="44" fontId="0" fillId="0" borderId="72" xfId="2" applyFont="1" applyFill="1" applyBorder="1"/>
    <xf numFmtId="44" fontId="0" fillId="0" borderId="73" xfId="2" applyFont="1" applyFill="1" applyBorder="1"/>
    <xf numFmtId="44" fontId="0" fillId="0" borderId="74" xfId="2" applyFont="1" applyFill="1" applyBorder="1"/>
    <xf numFmtId="44" fontId="0" fillId="42" borderId="38" xfId="2" applyFont="1" applyFill="1" applyBorder="1"/>
    <xf numFmtId="44" fontId="0" fillId="0" borderId="75" xfId="2" applyFont="1" applyFill="1" applyBorder="1"/>
    <xf numFmtId="166" fontId="0" fillId="0" borderId="71" xfId="2" applyNumberFormat="1" applyFont="1" applyFill="1" applyBorder="1"/>
    <xf numFmtId="166" fontId="4" fillId="0" borderId="71" xfId="2" applyNumberFormat="1" applyFont="1" applyFill="1" applyBorder="1"/>
    <xf numFmtId="44" fontId="0" fillId="39" borderId="3" xfId="2" applyFont="1" applyFill="1" applyBorder="1" applyProtection="1"/>
    <xf numFmtId="0" fontId="4" fillId="0" borderId="22" xfId="0" applyFont="1" applyFill="1" applyBorder="1" applyAlignment="1">
      <alignment horizontal="left" vertical="center" wrapText="1"/>
    </xf>
    <xf numFmtId="0" fontId="4" fillId="42" borderId="22" xfId="0" applyFont="1" applyFill="1" applyBorder="1" applyAlignment="1">
      <alignment wrapText="1"/>
    </xf>
    <xf numFmtId="44" fontId="0" fillId="39" borderId="63" xfId="2" applyFont="1" applyFill="1" applyBorder="1"/>
    <xf numFmtId="44" fontId="0" fillId="0" borderId="3" xfId="2" applyFont="1" applyFill="1" applyBorder="1"/>
    <xf numFmtId="44" fontId="0" fillId="0" borderId="7" xfId="2" applyFont="1" applyFill="1" applyBorder="1"/>
    <xf numFmtId="44" fontId="0" fillId="42" borderId="3" xfId="2" applyFont="1" applyFill="1" applyBorder="1"/>
    <xf numFmtId="0" fontId="0" fillId="42" borderId="63" xfId="0" applyFont="1" applyFill="1" applyBorder="1" applyAlignment="1">
      <alignment horizontal="center"/>
    </xf>
    <xf numFmtId="0" fontId="0" fillId="42" borderId="22" xfId="0" applyFont="1" applyFill="1" applyBorder="1" applyAlignment="1">
      <alignment horizontal="center"/>
    </xf>
    <xf numFmtId="44" fontId="0" fillId="42" borderId="63" xfId="2" applyFont="1" applyFill="1" applyBorder="1"/>
    <xf numFmtId="44" fontId="0" fillId="42" borderId="22" xfId="2" applyFont="1" applyFill="1" applyBorder="1"/>
    <xf numFmtId="44" fontId="0" fillId="42" borderId="7" xfId="2" applyFont="1" applyFill="1" applyBorder="1"/>
    <xf numFmtId="166" fontId="0" fillId="42" borderId="45" xfId="2" applyNumberFormat="1" applyFont="1" applyFill="1" applyBorder="1"/>
    <xf numFmtId="9" fontId="0" fillId="42" borderId="37" xfId="52" applyFont="1" applyFill="1" applyBorder="1"/>
    <xf numFmtId="8" fontId="4" fillId="0" borderId="25" xfId="0" applyNumberFormat="1" applyFont="1" applyBorder="1"/>
    <xf numFmtId="8" fontId="4" fillId="42" borderId="25" xfId="0" applyNumberFormat="1" applyFont="1" applyFill="1" applyBorder="1"/>
    <xf numFmtId="44" fontId="40" fillId="43" borderId="41" xfId="2" applyFont="1" applyFill="1" applyBorder="1"/>
    <xf numFmtId="44" fontId="0" fillId="0" borderId="25" xfId="2" applyFont="1" applyBorder="1"/>
    <xf numFmtId="44" fontId="0" fillId="0" borderId="41" xfId="2" applyFont="1" applyBorder="1"/>
    <xf numFmtId="44" fontId="0" fillId="0" borderId="5" xfId="2" applyFont="1" applyBorder="1"/>
    <xf numFmtId="44" fontId="0" fillId="0" borderId="1" xfId="2" applyFont="1" applyBorder="1"/>
    <xf numFmtId="166" fontId="0" fillId="42" borderId="47" xfId="2" applyNumberFormat="1" applyFont="1" applyFill="1" applyBorder="1"/>
    <xf numFmtId="0" fontId="4" fillId="0" borderId="22" xfId="0" applyFont="1" applyFill="1" applyBorder="1" applyAlignment="1">
      <alignment wrapText="1"/>
    </xf>
    <xf numFmtId="44" fontId="0" fillId="0" borderId="63" xfId="2" applyFont="1" applyBorder="1"/>
    <xf numFmtId="44" fontId="0" fillId="0" borderId="23" xfId="2" applyFont="1" applyBorder="1"/>
    <xf numFmtId="44" fontId="0" fillId="0" borderId="8" xfId="2" applyFont="1" applyBorder="1"/>
    <xf numFmtId="44" fontId="0" fillId="0" borderId="24" xfId="2" applyFont="1" applyBorder="1"/>
    <xf numFmtId="44" fontId="0" fillId="0" borderId="76" xfId="2" applyFont="1" applyBorder="1"/>
    <xf numFmtId="44" fontId="0" fillId="0" borderId="77" xfId="2" applyFont="1" applyBorder="1"/>
    <xf numFmtId="166" fontId="40" fillId="43" borderId="63" xfId="2" applyNumberFormat="1" applyFont="1" applyFill="1" applyBorder="1"/>
    <xf numFmtId="44" fontId="0" fillId="0" borderId="0" xfId="0" applyNumberFormat="1" applyFont="1"/>
    <xf numFmtId="0" fontId="0" fillId="42" borderId="27" xfId="0" applyFont="1" applyFill="1" applyBorder="1"/>
    <xf numFmtId="44" fontId="0" fillId="42" borderId="45" xfId="2" applyFont="1" applyFill="1" applyBorder="1"/>
    <xf numFmtId="166" fontId="0" fillId="42" borderId="0" xfId="2" applyNumberFormat="1" applyFont="1" applyFill="1" applyBorder="1"/>
    <xf numFmtId="166" fontId="0" fillId="42" borderId="40" xfId="2" applyNumberFormat="1" applyFont="1" applyFill="1" applyBorder="1"/>
    <xf numFmtId="166" fontId="0" fillId="0" borderId="0" xfId="0" applyNumberFormat="1" applyFont="1"/>
    <xf numFmtId="0" fontId="4" fillId="0" borderId="25" xfId="0" applyFont="1" applyBorder="1"/>
    <xf numFmtId="0" fontId="4" fillId="42" borderId="25" xfId="0" applyFont="1" applyFill="1" applyBorder="1"/>
    <xf numFmtId="44" fontId="0" fillId="42" borderId="43" xfId="2" applyFont="1" applyFill="1" applyBorder="1"/>
    <xf numFmtId="166" fontId="0" fillId="42" borderId="11" xfId="2" applyNumberFormat="1" applyFont="1" applyFill="1" applyBorder="1"/>
    <xf numFmtId="166" fontId="0" fillId="42" borderId="12" xfId="2" applyNumberFormat="1" applyFont="1" applyFill="1" applyBorder="1"/>
    <xf numFmtId="0" fontId="4" fillId="0" borderId="22" xfId="0" applyFont="1" applyBorder="1"/>
    <xf numFmtId="0" fontId="4" fillId="42" borderId="22" xfId="0" applyFont="1" applyFill="1" applyBorder="1"/>
    <xf numFmtId="44" fontId="0" fillId="0" borderId="63" xfId="2" applyFont="1" applyFill="1" applyBorder="1"/>
    <xf numFmtId="0" fontId="0" fillId="42" borderId="8" xfId="0" applyFont="1" applyFill="1" applyBorder="1"/>
    <xf numFmtId="166" fontId="40" fillId="43" borderId="8" xfId="2" applyNumberFormat="1" applyFont="1" applyFill="1" applyBorder="1"/>
    <xf numFmtId="166" fontId="40" fillId="43" borderId="24" xfId="2" applyNumberFormat="1" applyFont="1" applyFill="1" applyBorder="1"/>
    <xf numFmtId="0" fontId="0" fillId="42" borderId="0" xfId="0" applyFont="1" applyFill="1" applyAlignment="1">
      <alignment horizontal="center"/>
    </xf>
    <xf numFmtId="0" fontId="0" fillId="42" borderId="0" xfId="0" applyFont="1" applyFill="1"/>
    <xf numFmtId="0" fontId="0" fillId="0" borderId="0" xfId="0" applyFont="1" applyFill="1" applyBorder="1"/>
    <xf numFmtId="44" fontId="4" fillId="0" borderId="0" xfId="0" applyNumberFormat="1" applyFont="1"/>
    <xf numFmtId="0" fontId="4" fillId="0" borderId="0" xfId="0" applyFont="1"/>
    <xf numFmtId="0" fontId="14" fillId="0" borderId="0" xfId="0" applyFont="1" applyAlignment="1">
      <alignment horizontal="center"/>
    </xf>
    <xf numFmtId="0" fontId="4" fillId="0" borderId="22" xfId="0" applyFont="1" applyFill="1" applyBorder="1" applyAlignment="1"/>
    <xf numFmtId="0" fontId="0" fillId="0" borderId="3" xfId="0" applyFill="1" applyBorder="1" applyAlignment="1"/>
    <xf numFmtId="0" fontId="0" fillId="0" borderId="7" xfId="0" applyFill="1" applyBorder="1" applyAlignment="1"/>
    <xf numFmtId="14" fontId="13" fillId="0" borderId="3" xfId="0" applyNumberFormat="1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35" fillId="38" borderId="0" xfId="0" applyFont="1" applyFill="1" applyAlignment="1">
      <alignment horizontal="center"/>
    </xf>
    <xf numFmtId="0" fontId="35" fillId="38" borderId="0" xfId="0" applyFont="1" applyFill="1" applyBorder="1" applyAlignment="1">
      <alignment horizontal="center" wrapText="1"/>
    </xf>
    <xf numFmtId="0" fontId="36" fillId="0" borderId="3" xfId="0" applyFont="1" applyBorder="1" applyAlignment="1">
      <alignment horizontal="center"/>
    </xf>
    <xf numFmtId="0" fontId="36" fillId="0" borderId="0" xfId="0" applyFont="1" applyBorder="1" applyAlignment="1">
      <alignment horizontal="center"/>
    </xf>
  </cellXfs>
  <cellStyles count="141">
    <cellStyle name="20% - Accent1" xfId="26" builtinId="30" customBuiltin="1"/>
    <cellStyle name="20% - Accent1 2" xfId="58"/>
    <cellStyle name="20% - Accent1 2 2" xfId="92"/>
    <cellStyle name="20% - Accent1 2 3" xfId="126"/>
    <cellStyle name="20% - Accent1 3" xfId="72"/>
    <cellStyle name="20% - Accent1 4" xfId="106"/>
    <cellStyle name="20% - Accent2" xfId="30" builtinId="34" customBuiltin="1"/>
    <cellStyle name="20% - Accent2 2" xfId="60"/>
    <cellStyle name="20% - Accent2 2 2" xfId="94"/>
    <cellStyle name="20% - Accent2 2 3" xfId="128"/>
    <cellStyle name="20% - Accent2 3" xfId="74"/>
    <cellStyle name="20% - Accent2 4" xfId="108"/>
    <cellStyle name="20% - Accent3" xfId="34" builtinId="38" customBuiltin="1"/>
    <cellStyle name="20% - Accent3 2" xfId="62"/>
    <cellStyle name="20% - Accent3 2 2" xfId="96"/>
    <cellStyle name="20% - Accent3 2 3" xfId="130"/>
    <cellStyle name="20% - Accent3 3" xfId="76"/>
    <cellStyle name="20% - Accent3 4" xfId="110"/>
    <cellStyle name="20% - Accent4" xfId="38" builtinId="42" customBuiltin="1"/>
    <cellStyle name="20% - Accent4 2" xfId="64"/>
    <cellStyle name="20% - Accent4 2 2" xfId="98"/>
    <cellStyle name="20% - Accent4 2 3" xfId="132"/>
    <cellStyle name="20% - Accent4 3" xfId="78"/>
    <cellStyle name="20% - Accent4 4" xfId="112"/>
    <cellStyle name="20% - Accent5" xfId="42" builtinId="46" customBuiltin="1"/>
    <cellStyle name="20% - Accent5 2" xfId="66"/>
    <cellStyle name="20% - Accent5 2 2" xfId="100"/>
    <cellStyle name="20% - Accent5 2 3" xfId="134"/>
    <cellStyle name="20% - Accent5 3" xfId="80"/>
    <cellStyle name="20% - Accent5 4" xfId="114"/>
    <cellStyle name="20% - Accent6" xfId="46" builtinId="50" customBuiltin="1"/>
    <cellStyle name="20% - Accent6 2" xfId="68"/>
    <cellStyle name="20% - Accent6 2 2" xfId="102"/>
    <cellStyle name="20% - Accent6 2 3" xfId="136"/>
    <cellStyle name="20% - Accent6 3" xfId="82"/>
    <cellStyle name="20% - Accent6 4" xfId="116"/>
    <cellStyle name="40% - Accent1" xfId="27" builtinId="31" customBuiltin="1"/>
    <cellStyle name="40% - Accent1 2" xfId="59"/>
    <cellStyle name="40% - Accent1 2 2" xfId="93"/>
    <cellStyle name="40% - Accent1 2 3" xfId="127"/>
    <cellStyle name="40% - Accent1 3" xfId="73"/>
    <cellStyle name="40% - Accent1 4" xfId="107"/>
    <cellStyle name="40% - Accent2" xfId="31" builtinId="35" customBuiltin="1"/>
    <cellStyle name="40% - Accent2 2" xfId="61"/>
    <cellStyle name="40% - Accent2 2 2" xfId="95"/>
    <cellStyle name="40% - Accent2 2 3" xfId="129"/>
    <cellStyle name="40% - Accent2 3" xfId="75"/>
    <cellStyle name="40% - Accent2 4" xfId="109"/>
    <cellStyle name="40% - Accent3" xfId="35" builtinId="39" customBuiltin="1"/>
    <cellStyle name="40% - Accent3 2" xfId="63"/>
    <cellStyle name="40% - Accent3 2 2" xfId="97"/>
    <cellStyle name="40% - Accent3 2 3" xfId="131"/>
    <cellStyle name="40% - Accent3 3" xfId="77"/>
    <cellStyle name="40% - Accent3 4" xfId="111"/>
    <cellStyle name="40% - Accent4" xfId="39" builtinId="43" customBuiltin="1"/>
    <cellStyle name="40% - Accent4 2" xfId="65"/>
    <cellStyle name="40% - Accent4 2 2" xfId="99"/>
    <cellStyle name="40% - Accent4 2 3" xfId="133"/>
    <cellStyle name="40% - Accent4 3" xfId="79"/>
    <cellStyle name="40% - Accent4 4" xfId="113"/>
    <cellStyle name="40% - Accent5" xfId="43" builtinId="47" customBuiltin="1"/>
    <cellStyle name="40% - Accent5 2" xfId="67"/>
    <cellStyle name="40% - Accent5 2 2" xfId="101"/>
    <cellStyle name="40% - Accent5 2 3" xfId="135"/>
    <cellStyle name="40% - Accent5 3" xfId="81"/>
    <cellStyle name="40% - Accent5 4" xfId="115"/>
    <cellStyle name="40% - Accent6" xfId="47" builtinId="51" customBuiltin="1"/>
    <cellStyle name="40% - Accent6 2" xfId="69"/>
    <cellStyle name="40% - Accent6 2 2" xfId="103"/>
    <cellStyle name="40% - Accent6 2 3" xfId="137"/>
    <cellStyle name="40% - Accent6 3" xfId="83"/>
    <cellStyle name="40% - Accent6 4" xfId="117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1" builtinId="3"/>
    <cellStyle name="Comma 2" xfId="49"/>
    <cellStyle name="Comma 2 2" xfId="84"/>
    <cellStyle name="Comma 2 3" xfId="118"/>
    <cellStyle name="Comma 3" xfId="54"/>
    <cellStyle name="Comma 3 2" xfId="88"/>
    <cellStyle name="Comma 3 3" xfId="122"/>
    <cellStyle name="Comma 4" xfId="70"/>
    <cellStyle name="Comma 4 2" xfId="104"/>
    <cellStyle name="Comma 4 3" xfId="138"/>
    <cellStyle name="Currency" xfId="2" builtinId="4"/>
    <cellStyle name="Explanatory Text" xfId="23" builtinId="53" customBuiltin="1"/>
    <cellStyle name="Good" xfId="14" builtinId="26" customBuiltin="1"/>
    <cellStyle name="Heading 1" xfId="10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/>
    <cellStyle name="Normal 2" xfId="7"/>
    <cellStyle name="Normal 3" xfId="51"/>
    <cellStyle name="Normal 3 2" xfId="86"/>
    <cellStyle name="Normal 3 3" xfId="120"/>
    <cellStyle name="Normal 4" xfId="53"/>
    <cellStyle name="Normal 4 2" xfId="87"/>
    <cellStyle name="Normal 4 3" xfId="121"/>
    <cellStyle name="Normal 5" xfId="56"/>
    <cellStyle name="Normal 5 2" xfId="90"/>
    <cellStyle name="Normal 5 3" xfId="124"/>
    <cellStyle name="Note 2" xfId="55"/>
    <cellStyle name="Note 2 2" xfId="89"/>
    <cellStyle name="Note 2 3" xfId="123"/>
    <cellStyle name="Note 3" xfId="57"/>
    <cellStyle name="Note 3 2" xfId="91"/>
    <cellStyle name="Note 3 3" xfId="125"/>
    <cellStyle name="Output" xfId="18" builtinId="21" customBuiltin="1"/>
    <cellStyle name="Percent" xfId="140" builtinId="5"/>
    <cellStyle name="Percent 2" xfId="50"/>
    <cellStyle name="Percent 2 2" xfId="85"/>
    <cellStyle name="Percent 2 3" xfId="119"/>
    <cellStyle name="Percent 3" xfId="71"/>
    <cellStyle name="Percent 3 2" xfId="105"/>
    <cellStyle name="Percent 3 3" xfId="139"/>
    <cellStyle name="Percent 4" xfId="52"/>
    <cellStyle name="Style 1" xfId="3"/>
    <cellStyle name="Style 1 2" xfId="8"/>
    <cellStyle name="Style 1 3" xfId="6"/>
    <cellStyle name="Style 2" xfId="4"/>
    <cellStyle name="Style 3" xfId="5"/>
    <cellStyle name="Title" xfId="9" builtinId="15" customBuiltin="1"/>
    <cellStyle name="Total" xfId="24" builtinId="25" customBuiltin="1"/>
    <cellStyle name="Warning Text" xfId="22" builtinId="11" customBuiltin="1"/>
  </cellStyles>
  <dxfs count="0"/>
  <tableStyles count="0" defaultTableStyle="TableStyleMedium9" defaultPivotStyle="PivotStyleLight16"/>
  <colors>
    <mruColors>
      <color rgb="FFFF3399"/>
      <color rgb="FF99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542925</xdr:colOff>
      <xdr:row>0</xdr:row>
      <xdr:rowOff>47625</xdr:rowOff>
    </xdr:from>
    <xdr:to>
      <xdr:col>7</xdr:col>
      <xdr:colOff>695325</xdr:colOff>
      <xdr:row>2</xdr:row>
      <xdr:rowOff>180975</xdr:rowOff>
    </xdr:to>
    <xdr:pic>
      <xdr:nvPicPr>
        <xdr:cNvPr id="12305" name="Picture 1" descr="grnctlrg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048500" y="47625"/>
          <a:ext cx="10287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tabSelected="1" zoomScaleNormal="100" workbookViewId="0">
      <selection activeCell="C5" sqref="C5"/>
    </sheetView>
  </sheetViews>
  <sheetFormatPr defaultRowHeight="12.75" x14ac:dyDescent="0.2"/>
  <cols>
    <col min="1" max="1" width="3" style="13" customWidth="1"/>
    <col min="2" max="2" width="41.85546875" bestFit="1" customWidth="1"/>
    <col min="3" max="3" width="12" style="5" bestFit="1" customWidth="1"/>
    <col min="4" max="4" width="12.7109375" style="22" bestFit="1" customWidth="1"/>
    <col min="5" max="5" width="13.28515625" style="22" bestFit="1" customWidth="1"/>
    <col min="6" max="6" width="12" style="1" bestFit="1" customWidth="1"/>
    <col min="7" max="7" width="13.140625" style="1" bestFit="1" customWidth="1"/>
    <col min="8" max="8" width="11.140625" style="35" bestFit="1" customWidth="1"/>
    <col min="9" max="9" width="1.85546875" style="25" customWidth="1"/>
  </cols>
  <sheetData>
    <row r="1" spans="1:9" x14ac:dyDescent="0.2">
      <c r="A1" s="21">
        <v>1</v>
      </c>
    </row>
    <row r="2" spans="1:9" x14ac:dyDescent="0.2">
      <c r="A2" s="14">
        <f>A1+1</f>
        <v>2</v>
      </c>
    </row>
    <row r="3" spans="1:9" s="2" customFormat="1" ht="21.75" x14ac:dyDescent="0.3">
      <c r="A3" s="14">
        <f t="shared" ref="A3:A65" si="0">A2+1</f>
        <v>3</v>
      </c>
      <c r="B3" s="348" t="s">
        <v>95</v>
      </c>
      <c r="C3" s="348"/>
      <c r="D3" s="348"/>
      <c r="E3" s="348"/>
      <c r="F3" s="348"/>
      <c r="G3" s="348"/>
      <c r="H3" s="348"/>
      <c r="I3" s="26"/>
    </row>
    <row r="4" spans="1:9" s="2" customFormat="1" ht="20.25" x14ac:dyDescent="0.3">
      <c r="A4" s="14">
        <f t="shared" si="0"/>
        <v>4</v>
      </c>
      <c r="B4" s="15"/>
      <c r="C4" s="15"/>
      <c r="D4" s="23"/>
      <c r="E4" s="23"/>
      <c r="F4" s="15"/>
      <c r="G4" s="15"/>
      <c r="H4" s="37"/>
      <c r="I4" s="26"/>
    </row>
    <row r="5" spans="1:9" ht="21" thickBot="1" x14ac:dyDescent="0.35">
      <c r="A5" s="14">
        <f t="shared" si="0"/>
        <v>5</v>
      </c>
      <c r="B5" s="17" t="s">
        <v>129</v>
      </c>
      <c r="C5" s="16"/>
      <c r="D5" s="24"/>
      <c r="E5" s="24"/>
      <c r="F5" s="34" t="s">
        <v>31</v>
      </c>
      <c r="G5" s="352">
        <v>43145</v>
      </c>
      <c r="H5" s="353"/>
    </row>
    <row r="6" spans="1:9" ht="18.75" customHeight="1" thickBot="1" x14ac:dyDescent="0.4">
      <c r="A6" s="74">
        <f>A5+1</f>
        <v>6</v>
      </c>
      <c r="B6" s="102"/>
      <c r="C6" s="103"/>
      <c r="D6" s="104"/>
      <c r="E6" s="104"/>
      <c r="F6" s="103"/>
      <c r="G6" s="103"/>
      <c r="H6" s="105"/>
    </row>
    <row r="7" spans="1:9" s="3" customFormat="1" ht="38.25" customHeight="1" x14ac:dyDescent="0.2">
      <c r="A7" s="74">
        <f t="shared" si="0"/>
        <v>7</v>
      </c>
      <c r="B7" s="98"/>
      <c r="C7" s="47" t="s">
        <v>37</v>
      </c>
      <c r="D7" s="57" t="s">
        <v>50</v>
      </c>
      <c r="E7" s="57" t="s">
        <v>50</v>
      </c>
      <c r="F7" s="48" t="s">
        <v>94</v>
      </c>
      <c r="G7" s="48" t="s">
        <v>13</v>
      </c>
      <c r="H7" s="99" t="s">
        <v>12</v>
      </c>
      <c r="I7" s="27"/>
    </row>
    <row r="8" spans="1:9" s="3" customFormat="1" ht="13.5" thickBot="1" x14ac:dyDescent="0.25">
      <c r="A8" s="74">
        <f t="shared" si="0"/>
        <v>8</v>
      </c>
      <c r="B8" s="100"/>
      <c r="C8" s="45" t="s">
        <v>8</v>
      </c>
      <c r="D8" s="58" t="s">
        <v>9</v>
      </c>
      <c r="E8" s="58" t="s">
        <v>32</v>
      </c>
      <c r="F8" s="46" t="s">
        <v>10</v>
      </c>
      <c r="G8" s="46" t="s">
        <v>11</v>
      </c>
      <c r="H8" s="101" t="s">
        <v>11</v>
      </c>
      <c r="I8" s="27"/>
    </row>
    <row r="9" spans="1:9" s="3" customFormat="1" ht="15" x14ac:dyDescent="0.25">
      <c r="A9" s="74">
        <f t="shared" si="0"/>
        <v>9</v>
      </c>
      <c r="B9" s="75" t="s">
        <v>17</v>
      </c>
      <c r="C9" s="76"/>
      <c r="D9" s="77"/>
      <c r="E9" s="77"/>
      <c r="F9" s="78"/>
      <c r="G9" s="78"/>
      <c r="H9" s="79"/>
      <c r="I9" s="27"/>
    </row>
    <row r="10" spans="1:9" s="3" customFormat="1" x14ac:dyDescent="0.2">
      <c r="A10" s="74">
        <f t="shared" si="0"/>
        <v>10</v>
      </c>
      <c r="B10" s="80" t="s">
        <v>29</v>
      </c>
      <c r="C10" s="107">
        <v>18.8</v>
      </c>
      <c r="D10" s="107">
        <v>26.23</v>
      </c>
      <c r="E10" s="107">
        <v>26.23</v>
      </c>
      <c r="F10" s="107">
        <f>'STUDENT FEE CALCULATION'!B8</f>
        <v>30.5</v>
      </c>
      <c r="G10" s="44">
        <f>F10-E10</f>
        <v>4.2699999999999996</v>
      </c>
      <c r="H10" s="36">
        <f>IFERROR(G10/E10,"0.00%")</f>
        <v>0.16279069767441859</v>
      </c>
      <c r="I10" s="27"/>
    </row>
    <row r="11" spans="1:9" s="3" customFormat="1" x14ac:dyDescent="0.2">
      <c r="A11" s="74">
        <f t="shared" si="0"/>
        <v>11</v>
      </c>
      <c r="B11" s="80" t="s">
        <v>7</v>
      </c>
      <c r="C11" s="107">
        <v>9.4</v>
      </c>
      <c r="D11" s="107">
        <v>13.12</v>
      </c>
      <c r="E11" s="126">
        <v>13.12</v>
      </c>
      <c r="F11" s="126">
        <f>'STUDENT FEE CALCULATION'!C8</f>
        <v>15.25</v>
      </c>
      <c r="G11" s="44">
        <f t="shared" ref="G11:G13" si="1">F11-E11</f>
        <v>2.1300000000000008</v>
      </c>
      <c r="H11" s="36">
        <f t="shared" ref="H11:H13" si="2">IFERROR(G11/E11,"0.00%")</f>
        <v>0.16234756097560982</v>
      </c>
      <c r="I11" s="27"/>
    </row>
    <row r="12" spans="1:9" s="3" customFormat="1" x14ac:dyDescent="0.2">
      <c r="A12" s="74">
        <f t="shared" si="0"/>
        <v>12</v>
      </c>
      <c r="B12" s="80" t="s">
        <v>6</v>
      </c>
      <c r="C12" s="107">
        <v>7.9</v>
      </c>
      <c r="D12" s="107">
        <v>11.02</v>
      </c>
      <c r="E12" s="126">
        <v>11.02</v>
      </c>
      <c r="F12" s="126">
        <f>'STUDENT FEE CALCULATION'!D8</f>
        <v>12.81</v>
      </c>
      <c r="G12" s="44">
        <f t="shared" si="1"/>
        <v>1.7900000000000009</v>
      </c>
      <c r="H12" s="36">
        <f t="shared" si="2"/>
        <v>0.16243194192377505</v>
      </c>
      <c r="I12" s="27"/>
    </row>
    <row r="13" spans="1:9" s="3" customFormat="1" x14ac:dyDescent="0.2">
      <c r="A13" s="74">
        <f t="shared" si="0"/>
        <v>13</v>
      </c>
      <c r="B13" s="80" t="s">
        <v>7</v>
      </c>
      <c r="C13" s="107">
        <v>4.7</v>
      </c>
      <c r="D13" s="107">
        <v>6.56</v>
      </c>
      <c r="E13" s="126">
        <v>6.56</v>
      </c>
      <c r="F13" s="126">
        <f>'STUDENT FEE CALCULATION'!E8</f>
        <v>7.63</v>
      </c>
      <c r="G13" s="44">
        <f t="shared" si="1"/>
        <v>1.0700000000000003</v>
      </c>
      <c r="H13" s="36">
        <f t="shared" si="2"/>
        <v>0.16310975609756104</v>
      </c>
      <c r="I13" s="27"/>
    </row>
    <row r="14" spans="1:9" s="3" customFormat="1" x14ac:dyDescent="0.2">
      <c r="A14" s="74">
        <f t="shared" si="0"/>
        <v>14</v>
      </c>
      <c r="B14" s="80"/>
      <c r="C14" s="107"/>
      <c r="D14" s="107"/>
      <c r="E14" s="126"/>
      <c r="F14" s="126"/>
      <c r="G14" s="44"/>
      <c r="H14" s="36"/>
      <c r="I14" s="27"/>
    </row>
    <row r="15" spans="1:9" s="3" customFormat="1" x14ac:dyDescent="0.2">
      <c r="A15" s="74">
        <f t="shared" si="0"/>
        <v>15</v>
      </c>
      <c r="B15" s="80" t="s">
        <v>30</v>
      </c>
      <c r="C15" s="107">
        <v>12.22</v>
      </c>
      <c r="D15" s="107">
        <v>17.05</v>
      </c>
      <c r="E15" s="126">
        <v>17.05</v>
      </c>
      <c r="F15" s="126">
        <f>'STUDENT FEE CALCULATION'!F8</f>
        <v>19.829999999999998</v>
      </c>
      <c r="G15" s="44">
        <f t="shared" ref="G15:G18" si="3">F15-E15</f>
        <v>2.7799999999999976</v>
      </c>
      <c r="H15" s="36">
        <f t="shared" ref="H15:H18" si="4">IFERROR(G15/E15,"0.00%")</f>
        <v>0.16304985337243386</v>
      </c>
      <c r="I15" s="27"/>
    </row>
    <row r="16" spans="1:9" s="3" customFormat="1" x14ac:dyDescent="0.2">
      <c r="A16" s="74">
        <f t="shared" si="0"/>
        <v>16</v>
      </c>
      <c r="B16" s="80" t="s">
        <v>7</v>
      </c>
      <c r="C16" s="107">
        <v>6.11</v>
      </c>
      <c r="D16" s="107">
        <v>8.52</v>
      </c>
      <c r="E16" s="126">
        <v>8.52</v>
      </c>
      <c r="F16" s="126">
        <f>'STUDENT FEE CALCULATION'!G8</f>
        <v>9.91</v>
      </c>
      <c r="G16" s="44">
        <f t="shared" si="3"/>
        <v>1.3900000000000006</v>
      </c>
      <c r="H16" s="36">
        <f t="shared" si="4"/>
        <v>0.16314553990610337</v>
      </c>
      <c r="I16" s="27"/>
    </row>
    <row r="17" spans="1:9" s="3" customFormat="1" x14ac:dyDescent="0.2">
      <c r="A17" s="74">
        <f t="shared" si="0"/>
        <v>17</v>
      </c>
      <c r="B17" s="80" t="s">
        <v>6</v>
      </c>
      <c r="C17" s="107">
        <v>5.13</v>
      </c>
      <c r="D17" s="107">
        <v>7.16</v>
      </c>
      <c r="E17" s="126">
        <v>7.16</v>
      </c>
      <c r="F17" s="126">
        <f>'STUDENT FEE CALCULATION'!H8</f>
        <v>8.33</v>
      </c>
      <c r="G17" s="44">
        <f t="shared" si="3"/>
        <v>1.17</v>
      </c>
      <c r="H17" s="36">
        <f t="shared" si="4"/>
        <v>0.16340782122905026</v>
      </c>
      <c r="I17" s="27"/>
    </row>
    <row r="18" spans="1:9" s="3" customFormat="1" ht="13.5" thickBot="1" x14ac:dyDescent="0.25">
      <c r="A18" s="74">
        <f t="shared" si="0"/>
        <v>18</v>
      </c>
      <c r="B18" s="80" t="s">
        <v>7</v>
      </c>
      <c r="C18" s="107">
        <v>3.06</v>
      </c>
      <c r="D18" s="107">
        <v>4.26</v>
      </c>
      <c r="E18" s="126">
        <v>4.26</v>
      </c>
      <c r="F18" s="126">
        <f>'STUDENT FEE CALCULATION'!I8</f>
        <v>4.96</v>
      </c>
      <c r="G18" s="44">
        <f t="shared" si="3"/>
        <v>0.70000000000000018</v>
      </c>
      <c r="H18" s="36">
        <f t="shared" si="4"/>
        <v>0.16431924882629112</v>
      </c>
      <c r="I18" s="27"/>
    </row>
    <row r="19" spans="1:9" s="3" customFormat="1" ht="13.5" thickBot="1" x14ac:dyDescent="0.25">
      <c r="A19" s="74">
        <f t="shared" si="0"/>
        <v>19</v>
      </c>
      <c r="B19" s="81"/>
      <c r="C19" s="18"/>
      <c r="D19" s="59"/>
      <c r="E19" s="59"/>
      <c r="F19" s="50"/>
      <c r="G19" s="50"/>
      <c r="H19" s="68"/>
      <c r="I19" s="27"/>
    </row>
    <row r="20" spans="1:9" s="3" customFormat="1" ht="15" x14ac:dyDescent="0.25">
      <c r="A20" s="74">
        <f t="shared" si="0"/>
        <v>20</v>
      </c>
      <c r="B20" s="82" t="s">
        <v>5</v>
      </c>
      <c r="C20" s="9"/>
      <c r="D20" s="60"/>
      <c r="E20" s="60"/>
      <c r="F20" s="42"/>
      <c r="G20" s="42"/>
      <c r="H20" s="69"/>
      <c r="I20" s="27"/>
    </row>
    <row r="21" spans="1:9" s="3" customFormat="1" x14ac:dyDescent="0.2">
      <c r="A21" s="74">
        <f t="shared" si="0"/>
        <v>21</v>
      </c>
      <c r="B21" s="84" t="s">
        <v>38</v>
      </c>
      <c r="C21" s="111">
        <v>976575</v>
      </c>
      <c r="D21" s="110">
        <v>1393801</v>
      </c>
      <c r="E21" s="111">
        <v>1393801</v>
      </c>
      <c r="F21" s="110">
        <f>Sheet1!P38</f>
        <v>1624045.5</v>
      </c>
      <c r="G21" s="41">
        <f>F21-D21</f>
        <v>230244.5</v>
      </c>
      <c r="H21" s="70">
        <f t="shared" ref="H21:H23" si="5">IFERROR(G21/D21,"0.00%")</f>
        <v>0.16519180284703483</v>
      </c>
      <c r="I21" s="27"/>
    </row>
    <row r="22" spans="1:9" s="3" customFormat="1" x14ac:dyDescent="0.2">
      <c r="A22" s="74">
        <f t="shared" si="0"/>
        <v>22</v>
      </c>
      <c r="B22" s="84" t="s">
        <v>48</v>
      </c>
      <c r="C22" s="111">
        <v>1000</v>
      </c>
      <c r="D22" s="111">
        <v>2000</v>
      </c>
      <c r="E22" s="111">
        <v>2000</v>
      </c>
      <c r="F22" s="111">
        <v>2000</v>
      </c>
      <c r="G22" s="41">
        <f>F22-D22</f>
        <v>0</v>
      </c>
      <c r="H22" s="70">
        <f t="shared" si="5"/>
        <v>0</v>
      </c>
      <c r="I22" s="27"/>
    </row>
    <row r="23" spans="1:9" s="3" customFormat="1" x14ac:dyDescent="0.2">
      <c r="A23" s="74">
        <f>+A22+1</f>
        <v>23</v>
      </c>
      <c r="B23" s="84" t="s">
        <v>34</v>
      </c>
      <c r="C23" s="110"/>
      <c r="D23" s="110">
        <v>18616</v>
      </c>
      <c r="E23" s="110">
        <v>18616</v>
      </c>
      <c r="F23" s="110"/>
      <c r="G23" s="41">
        <f>F23-D23</f>
        <v>-18616</v>
      </c>
      <c r="H23" s="70">
        <f t="shared" si="5"/>
        <v>-1</v>
      </c>
      <c r="I23" s="27"/>
    </row>
    <row r="24" spans="1:9" s="4" customFormat="1" ht="15.75" thickBot="1" x14ac:dyDescent="0.3">
      <c r="A24" s="74">
        <f t="shared" si="0"/>
        <v>24</v>
      </c>
      <c r="B24" s="85" t="s">
        <v>3</v>
      </c>
      <c r="C24" s="55">
        <f>SUM(C21:C23)</f>
        <v>977575</v>
      </c>
      <c r="D24" s="65">
        <f>SUM(D21:D23)</f>
        <v>1414417</v>
      </c>
      <c r="E24" s="65">
        <f>SUM(E21:E23)</f>
        <v>1414417</v>
      </c>
      <c r="F24" s="55">
        <f>SUM(F21:F23)</f>
        <v>1626045.5</v>
      </c>
      <c r="G24" s="55">
        <f>F24-D24</f>
        <v>211628.5</v>
      </c>
      <c r="H24" s="86">
        <f>IFERROR(G24/D24,"0.00%")</f>
        <v>0.14962242393862629</v>
      </c>
    </row>
    <row r="25" spans="1:9" s="3" customFormat="1" ht="13.5" thickBot="1" x14ac:dyDescent="0.25">
      <c r="A25" s="74">
        <f t="shared" si="0"/>
        <v>25</v>
      </c>
      <c r="B25" s="81"/>
      <c r="C25" s="19"/>
      <c r="D25" s="59"/>
      <c r="E25" s="59"/>
      <c r="F25" s="51"/>
      <c r="G25" s="52"/>
      <c r="H25" s="68"/>
      <c r="I25" s="27"/>
    </row>
    <row r="26" spans="1:9" s="6" customFormat="1" ht="15" x14ac:dyDescent="0.25">
      <c r="A26" s="74">
        <f t="shared" si="0"/>
        <v>26</v>
      </c>
      <c r="B26" s="82" t="s">
        <v>0</v>
      </c>
      <c r="C26" s="7"/>
      <c r="D26" s="61"/>
      <c r="E26" s="61"/>
      <c r="F26" s="40"/>
      <c r="G26" s="41"/>
      <c r="H26" s="69"/>
      <c r="I26" s="28"/>
    </row>
    <row r="27" spans="1:9" s="3" customFormat="1" ht="15" x14ac:dyDescent="0.25">
      <c r="A27" s="74">
        <f t="shared" si="0"/>
        <v>27</v>
      </c>
      <c r="B27" s="82" t="s">
        <v>14</v>
      </c>
      <c r="C27" s="8"/>
      <c r="D27" s="60"/>
      <c r="E27" s="60"/>
      <c r="F27" s="40"/>
      <c r="G27" s="41"/>
      <c r="H27" s="69"/>
      <c r="I27" s="27"/>
    </row>
    <row r="28" spans="1:9" s="3" customFormat="1" x14ac:dyDescent="0.2">
      <c r="A28" s="74">
        <f t="shared" si="0"/>
        <v>28</v>
      </c>
      <c r="B28" s="84" t="s">
        <v>96</v>
      </c>
      <c r="C28" s="125">
        <v>976575</v>
      </c>
      <c r="D28" s="112">
        <f>1005872+375212</f>
        <v>1381084</v>
      </c>
      <c r="E28" s="112">
        <v>1325362</v>
      </c>
      <c r="F28" s="112">
        <f>+E28*1.03</f>
        <v>1365122.86</v>
      </c>
      <c r="G28" s="41">
        <f t="shared" ref="G28:G34" si="6">F28-D28</f>
        <v>-15961.139999999898</v>
      </c>
      <c r="H28" s="70">
        <f t="shared" ref="H28:H34" si="7">IFERROR(G28/D28,"0.00%")</f>
        <v>-1.1556965398194388E-2</v>
      </c>
      <c r="I28" s="27"/>
    </row>
    <row r="29" spans="1:9" s="3" customFormat="1" x14ac:dyDescent="0.2">
      <c r="A29" s="74">
        <f t="shared" si="0"/>
        <v>29</v>
      </c>
      <c r="B29" s="84" t="s">
        <v>39</v>
      </c>
      <c r="C29" s="125"/>
      <c r="D29" s="112"/>
      <c r="E29" s="112"/>
      <c r="F29" s="112"/>
      <c r="G29" s="41">
        <f t="shared" si="6"/>
        <v>0</v>
      </c>
      <c r="H29" s="70" t="str">
        <f t="shared" si="7"/>
        <v>0.00%</v>
      </c>
      <c r="I29" s="27"/>
    </row>
    <row r="30" spans="1:9" s="3" customFormat="1" x14ac:dyDescent="0.2">
      <c r="A30" s="74">
        <f t="shared" si="0"/>
        <v>30</v>
      </c>
      <c r="B30" s="84" t="s">
        <v>40</v>
      </c>
      <c r="C30" s="125"/>
      <c r="D30" s="112"/>
      <c r="E30" s="112"/>
      <c r="F30" s="112"/>
      <c r="G30" s="41">
        <f t="shared" si="6"/>
        <v>0</v>
      </c>
      <c r="H30" s="70" t="str">
        <f t="shared" si="7"/>
        <v>0.00%</v>
      </c>
      <c r="I30" s="27"/>
    </row>
    <row r="31" spans="1:9" s="3" customFormat="1" x14ac:dyDescent="0.2">
      <c r="A31" s="74">
        <f t="shared" si="0"/>
        <v>31</v>
      </c>
      <c r="B31" s="84" t="s">
        <v>41</v>
      </c>
      <c r="C31" s="125"/>
      <c r="D31" s="112"/>
      <c r="E31" s="112"/>
      <c r="F31" s="112"/>
      <c r="G31" s="41">
        <f t="shared" si="6"/>
        <v>0</v>
      </c>
      <c r="H31" s="70" t="str">
        <f t="shared" si="7"/>
        <v>0.00%</v>
      </c>
      <c r="I31" s="27"/>
    </row>
    <row r="32" spans="1:9" s="120" customFormat="1" x14ac:dyDescent="0.2">
      <c r="A32" s="127">
        <v>32</v>
      </c>
      <c r="B32" s="128" t="s">
        <v>42</v>
      </c>
      <c r="C32" s="125"/>
      <c r="D32" s="125"/>
      <c r="E32" s="125">
        <f>+E21*0.002</f>
        <v>2787.6019999999999</v>
      </c>
      <c r="F32" s="125">
        <f>+F21*0.002</f>
        <v>3248.0909999999999</v>
      </c>
      <c r="G32" s="41">
        <f t="shared" ref="G32" si="8">F32-D32</f>
        <v>3248.0909999999999</v>
      </c>
      <c r="H32" s="70" t="str">
        <f t="shared" ref="H32" si="9">IFERROR(G32/D32,"0.00%")</f>
        <v>0.00%</v>
      </c>
      <c r="I32" s="28"/>
    </row>
    <row r="33" spans="1:9" s="3" customFormat="1" x14ac:dyDescent="0.2">
      <c r="A33" s="74">
        <v>33</v>
      </c>
      <c r="B33" s="84" t="s">
        <v>43</v>
      </c>
      <c r="C33" s="125"/>
      <c r="D33" s="112"/>
      <c r="E33" s="112"/>
      <c r="F33" s="112"/>
      <c r="G33" s="41">
        <f t="shared" si="6"/>
        <v>0</v>
      </c>
      <c r="H33" s="70" t="str">
        <f t="shared" si="7"/>
        <v>0.00%</v>
      </c>
      <c r="I33" s="27"/>
    </row>
    <row r="34" spans="1:9" s="3" customFormat="1" x14ac:dyDescent="0.2">
      <c r="A34" s="74">
        <f t="shared" si="0"/>
        <v>34</v>
      </c>
      <c r="B34" s="87" t="s">
        <v>15</v>
      </c>
      <c r="C34" s="31">
        <f>SUM(C28:C33)</f>
        <v>976575</v>
      </c>
      <c r="D34" s="30">
        <f>SUM(D28:D33)</f>
        <v>1381084</v>
      </c>
      <c r="E34" s="30">
        <f>SUM(E28:E33)</f>
        <v>1328149.602</v>
      </c>
      <c r="F34" s="31">
        <f>SUM(F28:F33)</f>
        <v>1368370.9510000001</v>
      </c>
      <c r="G34" s="41">
        <f t="shared" si="6"/>
        <v>-12713.048999999883</v>
      </c>
      <c r="H34" s="70">
        <f t="shared" si="7"/>
        <v>-9.205123656490035E-3</v>
      </c>
      <c r="I34" s="27"/>
    </row>
    <row r="35" spans="1:9" s="3" customFormat="1" x14ac:dyDescent="0.2">
      <c r="A35" s="74">
        <f t="shared" si="0"/>
        <v>35</v>
      </c>
      <c r="B35" s="88"/>
      <c r="C35" s="8"/>
      <c r="D35" s="109"/>
      <c r="E35" s="109"/>
      <c r="F35" s="108"/>
      <c r="G35" s="108"/>
      <c r="H35" s="69"/>
      <c r="I35" s="27"/>
    </row>
    <row r="36" spans="1:9" s="3" customFormat="1" ht="15" x14ac:dyDescent="0.25">
      <c r="A36" s="74">
        <f t="shared" si="0"/>
        <v>36</v>
      </c>
      <c r="B36" s="82" t="s">
        <v>16</v>
      </c>
      <c r="C36" s="7"/>
      <c r="D36" s="109"/>
      <c r="E36" s="109"/>
      <c r="F36" s="108"/>
      <c r="G36" s="41"/>
      <c r="H36" s="69"/>
      <c r="I36" s="27"/>
    </row>
    <row r="37" spans="1:9" s="3" customFormat="1" x14ac:dyDescent="0.2">
      <c r="A37" s="74">
        <f t="shared" si="0"/>
        <v>37</v>
      </c>
      <c r="B37" s="84" t="s">
        <v>45</v>
      </c>
      <c r="C37" s="125"/>
      <c r="D37" s="113"/>
      <c r="E37" s="113"/>
      <c r="F37" s="113"/>
      <c r="G37" s="41">
        <f t="shared" ref="G37:G42" si="10">F37-D37</f>
        <v>0</v>
      </c>
      <c r="H37" s="70" t="str">
        <f t="shared" ref="H37:H42" si="11">IFERROR(G37/D37,"0.00%")</f>
        <v>0.00%</v>
      </c>
      <c r="I37" s="27"/>
    </row>
    <row r="38" spans="1:9" s="3" customFormat="1" x14ac:dyDescent="0.2">
      <c r="A38" s="74">
        <f t="shared" si="0"/>
        <v>38</v>
      </c>
      <c r="B38" s="84" t="s">
        <v>44</v>
      </c>
      <c r="C38" s="125"/>
      <c r="D38" s="113"/>
      <c r="E38" s="113"/>
      <c r="F38" s="113"/>
      <c r="G38" s="41">
        <f t="shared" si="10"/>
        <v>0</v>
      </c>
      <c r="H38" s="70" t="str">
        <f t="shared" si="11"/>
        <v>0.00%</v>
      </c>
      <c r="I38" s="27"/>
    </row>
    <row r="39" spans="1:9" s="3" customFormat="1" x14ac:dyDescent="0.2">
      <c r="A39" s="74">
        <f t="shared" si="0"/>
        <v>39</v>
      </c>
      <c r="B39" s="84" t="s">
        <v>49</v>
      </c>
      <c r="C39" s="113"/>
      <c r="D39" s="113"/>
      <c r="E39" s="113"/>
      <c r="F39" s="113"/>
      <c r="G39" s="41">
        <f t="shared" si="10"/>
        <v>0</v>
      </c>
      <c r="H39" s="70" t="str">
        <f t="shared" si="11"/>
        <v>0.00%</v>
      </c>
      <c r="I39" s="27"/>
    </row>
    <row r="40" spans="1:9" s="3" customFormat="1" x14ac:dyDescent="0.2">
      <c r="A40" s="74">
        <f t="shared" si="0"/>
        <v>40</v>
      </c>
      <c r="B40" s="84" t="s">
        <v>33</v>
      </c>
      <c r="C40" s="113"/>
      <c r="D40" s="113"/>
      <c r="E40" s="113"/>
      <c r="F40" s="113">
        <v>250000</v>
      </c>
      <c r="G40" s="41">
        <f t="shared" si="10"/>
        <v>250000</v>
      </c>
      <c r="H40" s="70" t="str">
        <f t="shared" si="11"/>
        <v>0.00%</v>
      </c>
      <c r="I40" s="27"/>
    </row>
    <row r="41" spans="1:9" s="3" customFormat="1" ht="15" x14ac:dyDescent="0.25">
      <c r="A41" s="74">
        <f t="shared" si="0"/>
        <v>41</v>
      </c>
      <c r="B41" s="84" t="s">
        <v>35</v>
      </c>
      <c r="C41" s="113"/>
      <c r="D41" s="113"/>
      <c r="E41" s="113"/>
      <c r="F41" s="113"/>
      <c r="G41" s="41">
        <f t="shared" si="10"/>
        <v>0</v>
      </c>
      <c r="H41" s="70" t="str">
        <f t="shared" si="11"/>
        <v>0.00%</v>
      </c>
      <c r="I41" s="29"/>
    </row>
    <row r="42" spans="1:9" s="3" customFormat="1" x14ac:dyDescent="0.2">
      <c r="A42" s="74">
        <f t="shared" si="0"/>
        <v>42</v>
      </c>
      <c r="B42" s="87" t="s">
        <v>27</v>
      </c>
      <c r="C42" s="31">
        <f>SUM(C37:C41)</f>
        <v>0</v>
      </c>
      <c r="D42" s="32">
        <f>SUM(D37:D41)</f>
        <v>0</v>
      </c>
      <c r="E42" s="32">
        <f>SUM(E37:E41)</f>
        <v>0</v>
      </c>
      <c r="F42" s="31">
        <f>SUM(F37:F41)</f>
        <v>250000</v>
      </c>
      <c r="G42" s="41">
        <f t="shared" si="10"/>
        <v>250000</v>
      </c>
      <c r="H42" s="70" t="str">
        <f t="shared" si="11"/>
        <v>0.00%</v>
      </c>
      <c r="I42" s="27"/>
    </row>
    <row r="43" spans="1:9" s="3" customFormat="1" x14ac:dyDescent="0.2">
      <c r="A43" s="74">
        <f t="shared" si="0"/>
        <v>43</v>
      </c>
      <c r="B43" s="87"/>
      <c r="C43" s="31"/>
      <c r="D43" s="30"/>
      <c r="E43" s="30"/>
      <c r="F43" s="31"/>
      <c r="G43" s="41"/>
      <c r="H43" s="70"/>
      <c r="I43" s="27"/>
    </row>
    <row r="44" spans="1:9" s="4" customFormat="1" ht="15.75" thickBot="1" x14ac:dyDescent="0.3">
      <c r="A44" s="74">
        <f t="shared" si="0"/>
        <v>44</v>
      </c>
      <c r="B44" s="85" t="s">
        <v>4</v>
      </c>
      <c r="C44" s="55">
        <f>SUM(C34,C42)</f>
        <v>976575</v>
      </c>
      <c r="D44" s="65">
        <f>SUM(D34,D42)</f>
        <v>1381084</v>
      </c>
      <c r="E44" s="65">
        <f>SUM(E34,E42)</f>
        <v>1328149.602</v>
      </c>
      <c r="F44" s="55">
        <f>SUM(F34,F42)</f>
        <v>1618370.9510000001</v>
      </c>
      <c r="G44" s="55">
        <f>F44-D44</f>
        <v>237286.95100000012</v>
      </c>
      <c r="H44" s="86">
        <f>IFERROR(G44/D44,"0.00%")</f>
        <v>0.17181210628752497</v>
      </c>
    </row>
    <row r="45" spans="1:9" s="3" customFormat="1" ht="13.5" thickBot="1" x14ac:dyDescent="0.25">
      <c r="A45" s="74">
        <f t="shared" si="0"/>
        <v>45</v>
      </c>
      <c r="B45" s="81"/>
      <c r="C45" s="19"/>
      <c r="D45" s="59"/>
      <c r="E45" s="59"/>
      <c r="F45" s="51"/>
      <c r="G45" s="52"/>
      <c r="H45" s="68"/>
      <c r="I45" s="27"/>
    </row>
    <row r="46" spans="1:9" s="3" customFormat="1" ht="15" x14ac:dyDescent="0.25">
      <c r="A46" s="74">
        <f t="shared" si="0"/>
        <v>46</v>
      </c>
      <c r="B46" s="82" t="s">
        <v>2</v>
      </c>
      <c r="C46" s="8"/>
      <c r="D46" s="60"/>
      <c r="E46" s="60"/>
      <c r="F46" s="40"/>
      <c r="G46" s="41"/>
      <c r="H46" s="69"/>
      <c r="I46" s="27"/>
    </row>
    <row r="47" spans="1:9" s="3" customFormat="1" x14ac:dyDescent="0.2">
      <c r="A47" s="74">
        <f t="shared" si="0"/>
        <v>47</v>
      </c>
      <c r="B47" s="84" t="s">
        <v>46</v>
      </c>
      <c r="C47" s="125"/>
      <c r="D47" s="115"/>
      <c r="E47" s="64">
        <f>C51</f>
        <v>1000</v>
      </c>
      <c r="F47" s="64">
        <f>E51</f>
        <v>87267.398000000045</v>
      </c>
      <c r="G47" s="41">
        <f>F47-D47</f>
        <v>87267.398000000045</v>
      </c>
      <c r="H47" s="70" t="str">
        <f t="shared" ref="H47:H49" si="12">IFERROR(G47/D47,"0.00%")</f>
        <v>0.00%</v>
      </c>
      <c r="I47" s="27"/>
    </row>
    <row r="48" spans="1:9" s="3" customFormat="1" x14ac:dyDescent="0.2">
      <c r="A48" s="74">
        <f t="shared" si="0"/>
        <v>48</v>
      </c>
      <c r="B48" s="83" t="s">
        <v>21</v>
      </c>
      <c r="C48" s="10">
        <f>C24-C44</f>
        <v>1000</v>
      </c>
      <c r="D48" s="10">
        <f>D24-D44</f>
        <v>33333</v>
      </c>
      <c r="E48" s="10">
        <f>E24-E44</f>
        <v>86267.398000000045</v>
      </c>
      <c r="F48" s="10">
        <f>F24-F44</f>
        <v>7674.5489999998827</v>
      </c>
      <c r="G48" s="41">
        <f>F48-D48</f>
        <v>-25658.451000000117</v>
      </c>
      <c r="H48" s="70">
        <f t="shared" si="12"/>
        <v>-0.76976122761227961</v>
      </c>
      <c r="I48" s="27"/>
    </row>
    <row r="49" spans="1:9" s="3" customFormat="1" ht="15" x14ac:dyDescent="0.25">
      <c r="A49" s="74">
        <f t="shared" si="0"/>
        <v>49</v>
      </c>
      <c r="B49" s="83" t="s">
        <v>22</v>
      </c>
      <c r="C49" s="43"/>
      <c r="D49" s="114"/>
      <c r="E49" s="116"/>
      <c r="F49" s="116"/>
      <c r="G49" s="41">
        <f>F49-D49</f>
        <v>0</v>
      </c>
      <c r="H49" s="70" t="str">
        <f t="shared" si="12"/>
        <v>0.00%</v>
      </c>
      <c r="I49" s="29"/>
    </row>
    <row r="50" spans="1:9" s="3" customFormat="1" x14ac:dyDescent="0.2">
      <c r="A50" s="74">
        <f t="shared" si="0"/>
        <v>50</v>
      </c>
      <c r="B50" s="88"/>
      <c r="C50" s="10"/>
      <c r="D50" s="64"/>
      <c r="E50" s="64"/>
      <c r="F50" s="41"/>
      <c r="G50" s="41"/>
      <c r="H50" s="70"/>
      <c r="I50" s="27"/>
    </row>
    <row r="51" spans="1:9" s="4" customFormat="1" ht="15.75" thickBot="1" x14ac:dyDescent="0.3">
      <c r="A51" s="74">
        <f t="shared" si="0"/>
        <v>51</v>
      </c>
      <c r="B51" s="85" t="s">
        <v>18</v>
      </c>
      <c r="C51" s="55">
        <f>SUM(C47:C49)</f>
        <v>1000</v>
      </c>
      <c r="D51" s="65">
        <f>SUM(D47:D49)</f>
        <v>33333</v>
      </c>
      <c r="E51" s="65">
        <f>SUM(E47:E49)</f>
        <v>87267.398000000045</v>
      </c>
      <c r="F51" s="55">
        <f>SUM(F47:F49)</f>
        <v>94941.946999999927</v>
      </c>
      <c r="G51" s="55">
        <f>F51-D51</f>
        <v>61608.946999999927</v>
      </c>
      <c r="H51" s="86">
        <f>IFERROR(G51/D51,"0.00%")</f>
        <v>1.8482868928689264</v>
      </c>
    </row>
    <row r="52" spans="1:9" s="3" customFormat="1" x14ac:dyDescent="0.2">
      <c r="A52" s="74">
        <f t="shared" si="0"/>
        <v>52</v>
      </c>
      <c r="B52" s="89"/>
      <c r="C52" s="20"/>
      <c r="D52" s="62"/>
      <c r="E52" s="62"/>
      <c r="F52" s="53"/>
      <c r="G52" s="54"/>
      <c r="H52" s="71"/>
      <c r="I52" s="27"/>
    </row>
    <row r="53" spans="1:9" s="3" customFormat="1" ht="15" x14ac:dyDescent="0.25">
      <c r="A53" s="74">
        <f t="shared" si="0"/>
        <v>53</v>
      </c>
      <c r="B53" s="90" t="s">
        <v>28</v>
      </c>
      <c r="C53" s="33"/>
      <c r="D53" s="67"/>
      <c r="E53" s="67"/>
      <c r="F53" s="49"/>
      <c r="G53" s="49"/>
      <c r="H53" s="70"/>
      <c r="I53" s="27"/>
    </row>
    <row r="54" spans="1:9" s="3" customFormat="1" x14ac:dyDescent="0.2">
      <c r="A54" s="74">
        <f t="shared" si="0"/>
        <v>54</v>
      </c>
      <c r="B54" s="83" t="s">
        <v>23</v>
      </c>
      <c r="C54" s="125"/>
      <c r="D54" s="117"/>
      <c r="E54" s="64">
        <f>C60</f>
        <v>0</v>
      </c>
      <c r="F54" s="64">
        <f>E60</f>
        <v>0</v>
      </c>
      <c r="G54" s="41">
        <f>F54-D54</f>
        <v>0</v>
      </c>
      <c r="H54" s="70" t="str">
        <f t="shared" ref="H54:H56" si="13">IFERROR(G54/D54,"0.00%")</f>
        <v>0.00%</v>
      </c>
      <c r="I54" s="27"/>
    </row>
    <row r="55" spans="1:9" s="3" customFormat="1" ht="15" x14ac:dyDescent="0.25">
      <c r="A55" s="74">
        <f t="shared" si="0"/>
        <v>55</v>
      </c>
      <c r="B55" s="84" t="s">
        <v>47</v>
      </c>
      <c r="C55" s="116"/>
      <c r="D55" s="117"/>
      <c r="E55" s="117"/>
      <c r="F55" s="117"/>
      <c r="G55" s="41">
        <f>F55-D55</f>
        <v>0</v>
      </c>
      <c r="H55" s="70" t="str">
        <f t="shared" si="13"/>
        <v>0.00%</v>
      </c>
      <c r="I55" s="29"/>
    </row>
    <row r="56" spans="1:9" s="3" customFormat="1" x14ac:dyDescent="0.2">
      <c r="A56" s="74">
        <f t="shared" si="0"/>
        <v>56</v>
      </c>
      <c r="B56" s="83" t="s">
        <v>24</v>
      </c>
      <c r="C56" s="10"/>
      <c r="D56" s="64"/>
      <c r="E56" s="64"/>
      <c r="F56" s="41"/>
      <c r="G56" s="41">
        <f>F56-D56</f>
        <v>0</v>
      </c>
      <c r="H56" s="70" t="str">
        <f t="shared" si="13"/>
        <v>0.00%</v>
      </c>
      <c r="I56" s="27"/>
    </row>
    <row r="57" spans="1:9" s="3" customFormat="1" ht="15" x14ac:dyDescent="0.25">
      <c r="A57" s="74">
        <f t="shared" si="0"/>
        <v>57</v>
      </c>
      <c r="B57" s="83" t="s">
        <v>25</v>
      </c>
      <c r="C57" s="10">
        <f>-C49</f>
        <v>0</v>
      </c>
      <c r="D57" s="10">
        <f>-D49</f>
        <v>0</v>
      </c>
      <c r="E57" s="10">
        <f>-E49</f>
        <v>0</v>
      </c>
      <c r="F57" s="10">
        <f>-F49</f>
        <v>0</v>
      </c>
      <c r="G57" s="41">
        <f>F57-D57</f>
        <v>0</v>
      </c>
      <c r="H57" s="70" t="str">
        <f>IFERROR(G57/D57,"0.00%")</f>
        <v>0.00%</v>
      </c>
      <c r="I57" s="29"/>
    </row>
    <row r="58" spans="1:9" s="3" customFormat="1" x14ac:dyDescent="0.2">
      <c r="A58" s="74">
        <f t="shared" si="0"/>
        <v>58</v>
      </c>
      <c r="B58" s="83" t="s">
        <v>26</v>
      </c>
      <c r="C58" s="10"/>
      <c r="D58" s="64"/>
      <c r="E58" s="64"/>
      <c r="F58" s="41"/>
      <c r="G58" s="41">
        <f>F58-D58</f>
        <v>0</v>
      </c>
      <c r="H58" s="70" t="s">
        <v>1</v>
      </c>
      <c r="I58" s="27"/>
    </row>
    <row r="59" spans="1:9" s="3" customFormat="1" x14ac:dyDescent="0.2">
      <c r="A59" s="74">
        <f t="shared" si="0"/>
        <v>59</v>
      </c>
      <c r="B59" s="91" t="s">
        <v>1</v>
      </c>
      <c r="C59" s="10"/>
      <c r="D59" s="64"/>
      <c r="E59" s="64"/>
      <c r="F59" s="41"/>
      <c r="G59" s="41"/>
      <c r="H59" s="70"/>
      <c r="I59" s="27"/>
    </row>
    <row r="60" spans="1:9" s="4" customFormat="1" ht="15" x14ac:dyDescent="0.25">
      <c r="A60" s="74">
        <f t="shared" si="0"/>
        <v>60</v>
      </c>
      <c r="B60" s="92" t="s">
        <v>20</v>
      </c>
      <c r="C60" s="56">
        <f>SUM(C54:C58)</f>
        <v>0</v>
      </c>
      <c r="D60" s="66">
        <f>SUM(D54:D58)</f>
        <v>0</v>
      </c>
      <c r="E60" s="66">
        <f>SUM(E54:E58)</f>
        <v>0</v>
      </c>
      <c r="F60" s="56">
        <f>SUM(F54:F58)</f>
        <v>0</v>
      </c>
      <c r="G60" s="56">
        <f>F60-D60</f>
        <v>0</v>
      </c>
      <c r="H60" s="86" t="str">
        <f>IFERROR(G60/D60,"0.00%")</f>
        <v>0.00%</v>
      </c>
    </row>
    <row r="61" spans="1:9" s="3" customFormat="1" ht="14.25" customHeight="1" thickBot="1" x14ac:dyDescent="0.25">
      <c r="A61" s="74">
        <f t="shared" si="0"/>
        <v>61</v>
      </c>
      <c r="B61" s="93"/>
      <c r="C61" s="94"/>
      <c r="D61" s="95"/>
      <c r="E61" s="95"/>
      <c r="F61" s="96"/>
      <c r="G61" s="96"/>
      <c r="H61" s="97"/>
      <c r="I61" s="27"/>
    </row>
    <row r="62" spans="1:9" s="3" customFormat="1" ht="15.75" thickBot="1" x14ac:dyDescent="0.3">
      <c r="A62" s="74">
        <f t="shared" si="0"/>
        <v>62</v>
      </c>
      <c r="B62" s="106" t="s">
        <v>19</v>
      </c>
      <c r="C62" s="12"/>
      <c r="D62" s="63"/>
      <c r="E62" s="63"/>
      <c r="F62" s="39"/>
      <c r="G62" s="39"/>
      <c r="H62" s="72"/>
      <c r="I62" s="27"/>
    </row>
    <row r="63" spans="1:9" s="3" customFormat="1" x14ac:dyDescent="0.2">
      <c r="A63" s="74">
        <f t="shared" si="0"/>
        <v>63</v>
      </c>
      <c r="B63" s="118" t="s">
        <v>91</v>
      </c>
      <c r="C63" s="122"/>
      <c r="D63" s="123"/>
      <c r="E63" s="123"/>
      <c r="F63" s="123"/>
      <c r="G63" s="123"/>
      <c r="H63" s="149"/>
      <c r="I63" s="27"/>
    </row>
    <row r="64" spans="1:9" s="3" customFormat="1" x14ac:dyDescent="0.2">
      <c r="A64" s="74">
        <f t="shared" si="0"/>
        <v>64</v>
      </c>
      <c r="B64" s="119" t="s">
        <v>92</v>
      </c>
      <c r="C64" s="121"/>
      <c r="D64" s="124"/>
      <c r="E64" s="124"/>
      <c r="F64" s="124"/>
      <c r="G64" s="124"/>
      <c r="H64" s="150"/>
      <c r="I64" s="27"/>
    </row>
    <row r="65" spans="1:9" s="3" customFormat="1" ht="13.5" thickBot="1" x14ac:dyDescent="0.25">
      <c r="A65" s="74">
        <f t="shared" si="0"/>
        <v>65</v>
      </c>
      <c r="B65" s="349" t="s">
        <v>36</v>
      </c>
      <c r="C65" s="350"/>
      <c r="D65" s="350"/>
      <c r="E65" s="350"/>
      <c r="F65" s="350"/>
      <c r="G65" s="350"/>
      <c r="H65" s="351"/>
      <c r="I65" s="27"/>
    </row>
    <row r="66" spans="1:9" x14ac:dyDescent="0.2">
      <c r="B66" s="11"/>
    </row>
    <row r="67" spans="1:9" x14ac:dyDescent="0.2">
      <c r="A67" s="38"/>
      <c r="B67" s="38"/>
      <c r="C67" s="38"/>
      <c r="D67" s="38"/>
      <c r="E67" s="38"/>
      <c r="F67" s="38"/>
      <c r="G67" s="38"/>
      <c r="H67" s="73"/>
      <c r="I67" s="38"/>
    </row>
    <row r="68" spans="1:9" x14ac:dyDescent="0.2">
      <c r="F68" s="38"/>
    </row>
  </sheetData>
  <mergeCells count="3">
    <mergeCell ref="B3:H3"/>
    <mergeCell ref="B65:H65"/>
    <mergeCell ref="G5:H5"/>
  </mergeCells>
  <printOptions horizontalCentered="1" gridLines="1"/>
  <pageMargins left="0.7" right="0.7" top="0.75" bottom="0.5" header="0.3" footer="0.3"/>
  <pageSetup scale="77" orientation="portrait" cellComments="asDisplayed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workbookViewId="0">
      <selection activeCell="B9" sqref="B9"/>
    </sheetView>
  </sheetViews>
  <sheetFormatPr defaultColWidth="9.140625" defaultRowHeight="12.75" x14ac:dyDescent="0.2"/>
  <cols>
    <col min="1" max="1" width="56.140625" style="129" customWidth="1"/>
    <col min="2" max="9" width="12.140625" style="129" bestFit="1" customWidth="1"/>
    <col min="10" max="12" width="11.5703125" style="129" bestFit="1" customWidth="1"/>
    <col min="13" max="13" width="11.28515625" style="129" bestFit="1" customWidth="1"/>
    <col min="14" max="14" width="11.5703125" style="129" bestFit="1" customWidth="1"/>
    <col min="15" max="15" width="11.28515625" style="129" bestFit="1" customWidth="1"/>
    <col min="16" max="16" width="11.5703125" style="129" bestFit="1" customWidth="1"/>
    <col min="17" max="16384" width="9.140625" style="129"/>
  </cols>
  <sheetData>
    <row r="1" spans="1:16" ht="23.25" x14ac:dyDescent="0.35">
      <c r="A1" s="354" t="s">
        <v>51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</row>
    <row r="2" spans="1:16" ht="23.25" x14ac:dyDescent="0.35">
      <c r="A2" s="355" t="s">
        <v>93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</row>
    <row r="3" spans="1:16" ht="23.25" x14ac:dyDescent="0.35">
      <c r="A3" s="355"/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</row>
    <row r="4" spans="1:16" ht="24" thickBot="1" x14ac:dyDescent="0.4">
      <c r="A4" s="130"/>
      <c r="B4" s="356" t="s">
        <v>52</v>
      </c>
      <c r="C4" s="356"/>
      <c r="D4" s="356"/>
      <c r="E4" s="356"/>
      <c r="F4" s="356"/>
      <c r="G4" s="356"/>
      <c r="H4" s="356"/>
      <c r="I4" s="356"/>
      <c r="J4" s="356" t="s">
        <v>53</v>
      </c>
      <c r="K4" s="356"/>
      <c r="L4" s="356"/>
      <c r="M4" s="356"/>
      <c r="N4" s="356"/>
      <c r="O4" s="356"/>
      <c r="P4" s="356"/>
    </row>
    <row r="5" spans="1:16" ht="60.75" thickBot="1" x14ac:dyDescent="0.3">
      <c r="A5" s="148" t="s">
        <v>54</v>
      </c>
      <c r="B5" s="131" t="s">
        <v>55</v>
      </c>
      <c r="C5" s="131" t="s">
        <v>56</v>
      </c>
      <c r="D5" s="131" t="s">
        <v>57</v>
      </c>
      <c r="E5" s="131" t="s">
        <v>58</v>
      </c>
      <c r="F5" s="131" t="s">
        <v>59</v>
      </c>
      <c r="G5" s="131" t="s">
        <v>60</v>
      </c>
      <c r="H5" s="131" t="s">
        <v>61</v>
      </c>
      <c r="I5" s="131" t="s">
        <v>62</v>
      </c>
      <c r="J5" s="131" t="s">
        <v>56</v>
      </c>
      <c r="K5" s="131" t="s">
        <v>57</v>
      </c>
      <c r="L5" s="131" t="s">
        <v>58</v>
      </c>
      <c r="M5" s="131" t="s">
        <v>59</v>
      </c>
      <c r="N5" s="131" t="s">
        <v>60</v>
      </c>
      <c r="O5" s="131" t="s">
        <v>61</v>
      </c>
      <c r="P5" s="131" t="s">
        <v>62</v>
      </c>
    </row>
    <row r="6" spans="1:16" x14ac:dyDescent="0.2">
      <c r="A6" s="132" t="s">
        <v>63</v>
      </c>
      <c r="B6" s="133"/>
      <c r="C6" s="134">
        <f>ROUND(+($B6*J6),2)</f>
        <v>0</v>
      </c>
      <c r="D6" s="134">
        <f>ROUND((+$B6*K6),2)</f>
        <v>0</v>
      </c>
      <c r="E6" s="134">
        <f>ROUND((+$B6*L6),2)</f>
        <v>0</v>
      </c>
      <c r="F6" s="134">
        <f>ROUND((+$B6*M6),2)</f>
        <v>0</v>
      </c>
      <c r="G6" s="134">
        <f>ROUNDDOWN((+$F6*N6),2)</f>
        <v>0</v>
      </c>
      <c r="H6" s="134">
        <f>ROUNDDOWN((+$F6*O6),2)</f>
        <v>0</v>
      </c>
      <c r="I6" s="134">
        <f>ROUND((+F6*P6),2)</f>
        <v>0</v>
      </c>
      <c r="J6" s="135">
        <v>0.5</v>
      </c>
      <c r="K6" s="135">
        <v>0.42</v>
      </c>
      <c r="L6" s="135">
        <v>0.25</v>
      </c>
      <c r="M6" s="135">
        <v>0.65</v>
      </c>
      <c r="N6" s="135">
        <v>0.5</v>
      </c>
      <c r="O6" s="135">
        <v>0.42</v>
      </c>
      <c r="P6" s="135">
        <v>0.25</v>
      </c>
    </row>
    <row r="7" spans="1:16" x14ac:dyDescent="0.2">
      <c r="A7" s="132" t="s">
        <v>64</v>
      </c>
      <c r="B7" s="133"/>
      <c r="C7" s="134">
        <f t="shared" ref="C7:C33" si="0">ROUND(+($B7*J7),2)</f>
        <v>0</v>
      </c>
      <c r="D7" s="134">
        <f t="shared" ref="D7:D8" si="1">ROUND((+$B7*K7),2)</f>
        <v>0</v>
      </c>
      <c r="E7" s="134">
        <f t="shared" ref="E7:E8" si="2">ROUND((+$B7*L7),2)</f>
        <v>0</v>
      </c>
      <c r="F7" s="134">
        <f t="shared" ref="F7:F8" si="3">ROUND((+$B7*M7),2)</f>
        <v>0</v>
      </c>
      <c r="G7" s="134">
        <f t="shared" ref="G7" si="4">ROUND((+$F7*N7),2)</f>
        <v>0</v>
      </c>
      <c r="H7" s="134">
        <f t="shared" ref="H7:H8" si="5">ROUND((+$F7*O7),2)</f>
        <v>0</v>
      </c>
      <c r="I7" s="134">
        <f t="shared" ref="I7:I8" si="6">ROUND((+F7*P7),2)</f>
        <v>0</v>
      </c>
      <c r="J7" s="135">
        <v>0.5</v>
      </c>
      <c r="K7" s="135">
        <v>0.42</v>
      </c>
      <c r="L7" s="135">
        <v>0.25</v>
      </c>
      <c r="M7" s="135">
        <v>0.65</v>
      </c>
      <c r="N7" s="135">
        <v>0.5</v>
      </c>
      <c r="O7" s="135">
        <v>0.42</v>
      </c>
      <c r="P7" s="135">
        <v>0.25</v>
      </c>
    </row>
    <row r="8" spans="1:16" x14ac:dyDescent="0.2">
      <c r="A8" s="132" t="s">
        <v>65</v>
      </c>
      <c r="B8" s="133">
        <f>+Sheet1!E38</f>
        <v>30.5</v>
      </c>
      <c r="C8" s="134">
        <f t="shared" si="0"/>
        <v>15.25</v>
      </c>
      <c r="D8" s="134">
        <f t="shared" si="1"/>
        <v>12.81</v>
      </c>
      <c r="E8" s="134">
        <f t="shared" si="2"/>
        <v>7.63</v>
      </c>
      <c r="F8" s="134">
        <f t="shared" si="3"/>
        <v>19.829999999999998</v>
      </c>
      <c r="G8" s="134">
        <f>ROUNDDOWN((+$F8*N8),2)</f>
        <v>9.91</v>
      </c>
      <c r="H8" s="134">
        <f t="shared" si="5"/>
        <v>8.33</v>
      </c>
      <c r="I8" s="134">
        <f t="shared" si="6"/>
        <v>4.96</v>
      </c>
      <c r="J8" s="135">
        <v>0.5</v>
      </c>
      <c r="K8" s="135">
        <v>0.42</v>
      </c>
      <c r="L8" s="135">
        <v>0.25</v>
      </c>
      <c r="M8" s="135">
        <v>0.65</v>
      </c>
      <c r="N8" s="135">
        <v>0.5</v>
      </c>
      <c r="O8" s="135">
        <v>0.42</v>
      </c>
      <c r="P8" s="135">
        <v>0.25</v>
      </c>
    </row>
    <row r="9" spans="1:16" x14ac:dyDescent="0.2">
      <c r="A9" s="137" t="s">
        <v>66</v>
      </c>
      <c r="B9" s="138"/>
      <c r="C9" s="138"/>
      <c r="D9" s="138"/>
      <c r="E9" s="138"/>
      <c r="F9" s="138"/>
      <c r="G9" s="139"/>
      <c r="H9" s="138"/>
      <c r="I9" s="138"/>
      <c r="J9" s="138"/>
      <c r="K9" s="138"/>
      <c r="L9" s="138"/>
      <c r="M9" s="138"/>
      <c r="N9" s="138"/>
      <c r="O9" s="138"/>
      <c r="P9" s="138"/>
    </row>
    <row r="10" spans="1:16" x14ac:dyDescent="0.2">
      <c r="A10" s="136" t="s">
        <v>67</v>
      </c>
      <c r="B10" s="133"/>
      <c r="C10" s="134">
        <f t="shared" si="0"/>
        <v>0</v>
      </c>
      <c r="D10" s="134">
        <f t="shared" ref="D10:D12" si="7">ROUND((+$B10*K10),2)</f>
        <v>0</v>
      </c>
      <c r="E10" s="134">
        <f t="shared" ref="E10:E12" si="8">ROUND((+$B10*L10),2)</f>
        <v>0</v>
      </c>
      <c r="F10" s="134">
        <f t="shared" ref="F10:F12" si="9">ROUND((+$B10*M10),2)</f>
        <v>0</v>
      </c>
      <c r="G10" s="134">
        <f t="shared" ref="G10:G12" si="10">ROUND((+$F10*N10),2)</f>
        <v>0</v>
      </c>
      <c r="H10" s="134">
        <f t="shared" ref="H10:H12" si="11">ROUND((+$F10*O10),2)</f>
        <v>0</v>
      </c>
      <c r="I10" s="134">
        <f t="shared" ref="I10:I12" si="12">ROUND((+F10*P10),2)</f>
        <v>0</v>
      </c>
      <c r="J10" s="135">
        <v>0</v>
      </c>
      <c r="K10" s="135">
        <v>0</v>
      </c>
      <c r="L10" s="135">
        <v>0</v>
      </c>
      <c r="M10" s="135">
        <v>0</v>
      </c>
      <c r="N10" s="135">
        <v>0</v>
      </c>
      <c r="O10" s="135">
        <v>0</v>
      </c>
      <c r="P10" s="135">
        <v>0</v>
      </c>
    </row>
    <row r="11" spans="1:16" x14ac:dyDescent="0.2">
      <c r="A11" s="136" t="s">
        <v>68</v>
      </c>
      <c r="B11" s="133"/>
      <c r="C11" s="134">
        <f t="shared" si="0"/>
        <v>0</v>
      </c>
      <c r="D11" s="134">
        <f t="shared" si="7"/>
        <v>0</v>
      </c>
      <c r="E11" s="134">
        <f t="shared" si="8"/>
        <v>0</v>
      </c>
      <c r="F11" s="134">
        <f t="shared" si="9"/>
        <v>0</v>
      </c>
      <c r="G11" s="134">
        <f t="shared" si="10"/>
        <v>0</v>
      </c>
      <c r="H11" s="134">
        <f t="shared" si="11"/>
        <v>0</v>
      </c>
      <c r="I11" s="134">
        <f>ROUNDDOWN((+F11*P11),2)</f>
        <v>0</v>
      </c>
      <c r="J11" s="135">
        <v>0.5</v>
      </c>
      <c r="K11" s="135">
        <v>0</v>
      </c>
      <c r="L11" s="135">
        <v>0.25</v>
      </c>
      <c r="M11" s="135">
        <v>0.65</v>
      </c>
      <c r="N11" s="135">
        <v>0.5</v>
      </c>
      <c r="O11" s="135">
        <v>0</v>
      </c>
      <c r="P11" s="135">
        <v>0.25</v>
      </c>
    </row>
    <row r="12" spans="1:16" x14ac:dyDescent="0.2">
      <c r="A12" s="136" t="s">
        <v>69</v>
      </c>
      <c r="B12" s="133"/>
      <c r="C12" s="134">
        <f t="shared" si="0"/>
        <v>0</v>
      </c>
      <c r="D12" s="134">
        <f t="shared" si="7"/>
        <v>0</v>
      </c>
      <c r="E12" s="134">
        <f t="shared" si="8"/>
        <v>0</v>
      </c>
      <c r="F12" s="134">
        <f t="shared" si="9"/>
        <v>0</v>
      </c>
      <c r="G12" s="134">
        <f t="shared" si="10"/>
        <v>0</v>
      </c>
      <c r="H12" s="134">
        <f t="shared" si="11"/>
        <v>0</v>
      </c>
      <c r="I12" s="134">
        <f t="shared" si="12"/>
        <v>0</v>
      </c>
      <c r="J12" s="135">
        <v>0</v>
      </c>
      <c r="K12" s="135">
        <v>0</v>
      </c>
      <c r="L12" s="135">
        <v>0</v>
      </c>
      <c r="M12" s="135">
        <v>0</v>
      </c>
      <c r="N12" s="135">
        <v>0</v>
      </c>
      <c r="O12" s="135">
        <v>0</v>
      </c>
      <c r="P12" s="135">
        <v>0</v>
      </c>
    </row>
    <row r="13" spans="1:16" x14ac:dyDescent="0.2">
      <c r="A13" s="137" t="s">
        <v>70</v>
      </c>
      <c r="B13" s="138"/>
      <c r="C13" s="138"/>
      <c r="D13" s="138"/>
      <c r="E13" s="138"/>
      <c r="F13" s="138"/>
      <c r="G13" s="139"/>
      <c r="H13" s="138"/>
      <c r="I13" s="138"/>
      <c r="J13" s="138"/>
      <c r="K13" s="138"/>
      <c r="L13" s="138"/>
      <c r="M13" s="138"/>
      <c r="N13" s="138"/>
      <c r="O13" s="138"/>
      <c r="P13" s="138"/>
    </row>
    <row r="14" spans="1:16" x14ac:dyDescent="0.2">
      <c r="A14" s="140" t="s">
        <v>71</v>
      </c>
      <c r="B14" s="133"/>
      <c r="C14" s="134">
        <f t="shared" si="0"/>
        <v>0</v>
      </c>
      <c r="D14" s="134">
        <f t="shared" ref="D14:D19" si="13">ROUND((+$B14*K14),2)</f>
        <v>0</v>
      </c>
      <c r="E14" s="134">
        <f t="shared" ref="E14:E19" si="14">ROUND((+$B14*L14),2)</f>
        <v>0</v>
      </c>
      <c r="F14" s="134">
        <f t="shared" ref="F14:F19" si="15">ROUND((+$B14*M14),2)</f>
        <v>0</v>
      </c>
      <c r="G14" s="134">
        <f t="shared" ref="G14:G19" si="16">ROUND((+$F14*N14),2)</f>
        <v>0</v>
      </c>
      <c r="H14" s="134">
        <f t="shared" ref="H14:H19" si="17">ROUND((+$F14*O14),2)</f>
        <v>0</v>
      </c>
      <c r="I14" s="134">
        <f t="shared" ref="I14:I19" si="18">ROUND((+F14*P14),2)</f>
        <v>0</v>
      </c>
      <c r="J14" s="135">
        <v>0</v>
      </c>
      <c r="K14" s="135">
        <v>0</v>
      </c>
      <c r="L14" s="135">
        <v>0</v>
      </c>
      <c r="M14" s="135">
        <v>0.65</v>
      </c>
      <c r="N14" s="135">
        <v>0</v>
      </c>
      <c r="O14" s="135">
        <v>0</v>
      </c>
      <c r="P14" s="135">
        <v>0</v>
      </c>
    </row>
    <row r="15" spans="1:16" x14ac:dyDescent="0.2">
      <c r="A15" s="140" t="s">
        <v>69</v>
      </c>
      <c r="B15" s="133"/>
      <c r="C15" s="134">
        <f t="shared" si="0"/>
        <v>0</v>
      </c>
      <c r="D15" s="134">
        <f t="shared" si="13"/>
        <v>0</v>
      </c>
      <c r="E15" s="134">
        <f t="shared" si="14"/>
        <v>0</v>
      </c>
      <c r="F15" s="134">
        <f t="shared" si="15"/>
        <v>0</v>
      </c>
      <c r="G15" s="134">
        <f t="shared" si="16"/>
        <v>0</v>
      </c>
      <c r="H15" s="134">
        <f t="shared" si="17"/>
        <v>0</v>
      </c>
      <c r="I15" s="134">
        <f t="shared" si="18"/>
        <v>0</v>
      </c>
      <c r="J15" s="135">
        <v>0.5</v>
      </c>
      <c r="K15" s="135">
        <v>0</v>
      </c>
      <c r="L15" s="135">
        <v>0.25</v>
      </c>
      <c r="M15" s="135">
        <v>0.65</v>
      </c>
      <c r="N15" s="135">
        <v>0.5</v>
      </c>
      <c r="O15" s="135">
        <v>0</v>
      </c>
      <c r="P15" s="135">
        <v>0.25</v>
      </c>
    </row>
    <row r="16" spans="1:16" x14ac:dyDescent="0.2">
      <c r="A16" s="140" t="s">
        <v>72</v>
      </c>
      <c r="B16" s="133"/>
      <c r="C16" s="134">
        <f t="shared" si="0"/>
        <v>0</v>
      </c>
      <c r="D16" s="134">
        <f t="shared" si="13"/>
        <v>0</v>
      </c>
      <c r="E16" s="134">
        <f t="shared" si="14"/>
        <v>0</v>
      </c>
      <c r="F16" s="134">
        <f t="shared" si="15"/>
        <v>0</v>
      </c>
      <c r="G16" s="134">
        <f t="shared" si="16"/>
        <v>0</v>
      </c>
      <c r="H16" s="134">
        <f t="shared" si="17"/>
        <v>0</v>
      </c>
      <c r="I16" s="134">
        <f t="shared" si="18"/>
        <v>0</v>
      </c>
      <c r="J16" s="135">
        <v>0</v>
      </c>
      <c r="K16" s="135">
        <v>0</v>
      </c>
      <c r="L16" s="135">
        <v>0</v>
      </c>
      <c r="M16" s="135">
        <v>0.65</v>
      </c>
      <c r="N16" s="135">
        <v>0</v>
      </c>
      <c r="O16" s="135">
        <v>0</v>
      </c>
      <c r="P16" s="135">
        <v>0</v>
      </c>
    </row>
    <row r="17" spans="1:16" x14ac:dyDescent="0.2">
      <c r="A17" s="141" t="s">
        <v>73</v>
      </c>
      <c r="B17" s="133"/>
      <c r="C17" s="134">
        <f t="shared" si="0"/>
        <v>0</v>
      </c>
      <c r="D17" s="134">
        <f t="shared" si="13"/>
        <v>0</v>
      </c>
      <c r="E17" s="134">
        <f t="shared" si="14"/>
        <v>0</v>
      </c>
      <c r="F17" s="134">
        <f t="shared" si="15"/>
        <v>0</v>
      </c>
      <c r="G17" s="134">
        <f t="shared" si="16"/>
        <v>0</v>
      </c>
      <c r="H17" s="134">
        <f t="shared" si="17"/>
        <v>0</v>
      </c>
      <c r="I17" s="134">
        <f t="shared" si="18"/>
        <v>0</v>
      </c>
      <c r="J17" s="135">
        <v>1</v>
      </c>
      <c r="K17" s="135">
        <v>1</v>
      </c>
      <c r="L17" s="135">
        <v>1</v>
      </c>
      <c r="M17" s="135">
        <v>0.65</v>
      </c>
      <c r="N17" s="135">
        <v>1</v>
      </c>
      <c r="O17" s="135">
        <v>1</v>
      </c>
      <c r="P17" s="135">
        <v>1</v>
      </c>
    </row>
    <row r="18" spans="1:16" x14ac:dyDescent="0.2">
      <c r="A18" s="141" t="s">
        <v>74</v>
      </c>
      <c r="B18" s="133"/>
      <c r="C18" s="134">
        <f t="shared" si="0"/>
        <v>0</v>
      </c>
      <c r="D18" s="134">
        <f t="shared" si="13"/>
        <v>0</v>
      </c>
      <c r="E18" s="134">
        <f t="shared" si="14"/>
        <v>0</v>
      </c>
      <c r="F18" s="134">
        <f t="shared" si="15"/>
        <v>0</v>
      </c>
      <c r="G18" s="134">
        <f t="shared" si="16"/>
        <v>0</v>
      </c>
      <c r="H18" s="134">
        <f t="shared" si="17"/>
        <v>0</v>
      </c>
      <c r="I18" s="134">
        <f t="shared" si="18"/>
        <v>0</v>
      </c>
      <c r="J18" s="135">
        <v>0.5</v>
      </c>
      <c r="K18" s="135">
        <v>0.42</v>
      </c>
      <c r="L18" s="135">
        <v>0.25</v>
      </c>
      <c r="M18" s="135">
        <v>0.65</v>
      </c>
      <c r="N18" s="135">
        <v>0.5</v>
      </c>
      <c r="O18" s="135">
        <v>0.42</v>
      </c>
      <c r="P18" s="135">
        <v>0.25</v>
      </c>
    </row>
    <row r="19" spans="1:16" x14ac:dyDescent="0.2">
      <c r="A19" s="141" t="s">
        <v>90</v>
      </c>
      <c r="B19" s="133"/>
      <c r="C19" s="134">
        <f t="shared" si="0"/>
        <v>0</v>
      </c>
      <c r="D19" s="134">
        <f t="shared" si="13"/>
        <v>0</v>
      </c>
      <c r="E19" s="134">
        <f t="shared" si="14"/>
        <v>0</v>
      </c>
      <c r="F19" s="134">
        <f t="shared" si="15"/>
        <v>0</v>
      </c>
      <c r="G19" s="134">
        <f t="shared" si="16"/>
        <v>0</v>
      </c>
      <c r="H19" s="134">
        <f t="shared" si="17"/>
        <v>0</v>
      </c>
      <c r="I19" s="134">
        <f t="shared" si="18"/>
        <v>0</v>
      </c>
      <c r="J19" s="135">
        <v>1</v>
      </c>
      <c r="K19" s="135">
        <v>1</v>
      </c>
      <c r="L19" s="135">
        <v>1</v>
      </c>
      <c r="M19" s="135">
        <v>0.65</v>
      </c>
      <c r="N19" s="135">
        <v>1</v>
      </c>
      <c r="O19" s="135">
        <v>1</v>
      </c>
      <c r="P19" s="135">
        <v>1</v>
      </c>
    </row>
    <row r="20" spans="1:16" x14ac:dyDescent="0.2">
      <c r="A20" s="137" t="s">
        <v>75</v>
      </c>
      <c r="B20" s="138"/>
      <c r="C20" s="138"/>
      <c r="D20" s="138"/>
      <c r="E20" s="138"/>
      <c r="F20" s="138"/>
      <c r="G20" s="139"/>
      <c r="H20" s="138"/>
      <c r="I20" s="138"/>
      <c r="J20" s="138"/>
      <c r="K20" s="138"/>
      <c r="L20" s="138"/>
      <c r="M20" s="138"/>
      <c r="N20" s="138"/>
      <c r="O20" s="138"/>
      <c r="P20" s="138"/>
    </row>
    <row r="21" spans="1:16" x14ac:dyDescent="0.2">
      <c r="A21" s="140" t="s">
        <v>76</v>
      </c>
      <c r="B21" s="142"/>
      <c r="C21" s="134">
        <f t="shared" si="0"/>
        <v>0</v>
      </c>
      <c r="D21" s="134">
        <f t="shared" ref="D21:D24" si="19">ROUND((+$B21*K21),2)</f>
        <v>0</v>
      </c>
      <c r="E21" s="134">
        <f t="shared" ref="E21:E24" si="20">ROUND((+$B21*L21),2)</f>
        <v>0</v>
      </c>
      <c r="F21" s="134">
        <f t="shared" ref="F21:F24" si="21">ROUND((+$B21*M21),2)</f>
        <v>0</v>
      </c>
      <c r="G21" s="134">
        <f t="shared" ref="G21:G24" si="22">ROUND((+$F21*N21),2)</f>
        <v>0</v>
      </c>
      <c r="H21" s="134">
        <f t="shared" ref="H21:H24" si="23">ROUND((+$F21*O21),2)</f>
        <v>0</v>
      </c>
      <c r="I21" s="134">
        <f t="shared" ref="I21:I24" si="24">ROUND((+F21*P21),2)</f>
        <v>0</v>
      </c>
      <c r="J21" s="135">
        <v>0</v>
      </c>
      <c r="K21" s="135">
        <v>0</v>
      </c>
      <c r="L21" s="135">
        <v>0</v>
      </c>
      <c r="M21" s="135">
        <v>0.65</v>
      </c>
      <c r="N21" s="135">
        <v>0</v>
      </c>
      <c r="O21" s="135">
        <v>0</v>
      </c>
      <c r="P21" s="135">
        <v>0</v>
      </c>
    </row>
    <row r="22" spans="1:16" x14ac:dyDescent="0.2">
      <c r="A22" s="140" t="s">
        <v>77</v>
      </c>
      <c r="B22" s="142"/>
      <c r="C22" s="134">
        <f t="shared" si="0"/>
        <v>0</v>
      </c>
      <c r="D22" s="134">
        <f t="shared" si="19"/>
        <v>0</v>
      </c>
      <c r="E22" s="134">
        <f t="shared" si="20"/>
        <v>0</v>
      </c>
      <c r="F22" s="134">
        <f t="shared" si="21"/>
        <v>0</v>
      </c>
      <c r="G22" s="134">
        <f t="shared" si="22"/>
        <v>0</v>
      </c>
      <c r="H22" s="134">
        <f t="shared" si="23"/>
        <v>0</v>
      </c>
      <c r="I22" s="134">
        <f t="shared" si="24"/>
        <v>0</v>
      </c>
      <c r="J22" s="135">
        <v>0</v>
      </c>
      <c r="K22" s="135">
        <v>0</v>
      </c>
      <c r="L22" s="135">
        <v>0</v>
      </c>
      <c r="M22" s="135">
        <v>0.65</v>
      </c>
      <c r="N22" s="135">
        <v>0</v>
      </c>
      <c r="O22" s="135">
        <v>0</v>
      </c>
      <c r="P22" s="135">
        <v>0</v>
      </c>
    </row>
    <row r="23" spans="1:16" ht="17.25" x14ac:dyDescent="0.25">
      <c r="A23" s="140" t="s">
        <v>78</v>
      </c>
      <c r="B23" s="142"/>
      <c r="C23" s="134">
        <f t="shared" si="0"/>
        <v>0</v>
      </c>
      <c r="D23" s="134">
        <f t="shared" si="19"/>
        <v>0</v>
      </c>
      <c r="E23" s="134">
        <f t="shared" si="20"/>
        <v>0</v>
      </c>
      <c r="F23" s="134">
        <f t="shared" si="21"/>
        <v>0</v>
      </c>
      <c r="G23" s="134">
        <f t="shared" si="22"/>
        <v>0</v>
      </c>
      <c r="H23" s="134">
        <f t="shared" si="23"/>
        <v>0</v>
      </c>
      <c r="I23" s="134">
        <f t="shared" si="24"/>
        <v>0</v>
      </c>
      <c r="J23" s="135">
        <v>0</v>
      </c>
      <c r="K23" s="135">
        <v>0</v>
      </c>
      <c r="L23" s="135">
        <v>0</v>
      </c>
      <c r="M23" s="135">
        <v>0.65</v>
      </c>
      <c r="N23" s="135">
        <v>0</v>
      </c>
      <c r="O23" s="135">
        <v>0</v>
      </c>
      <c r="P23" s="135">
        <v>0</v>
      </c>
    </row>
    <row r="24" spans="1:16" x14ac:dyDescent="0.2">
      <c r="A24" s="141" t="s">
        <v>79</v>
      </c>
      <c r="B24" s="133"/>
      <c r="C24" s="134">
        <f t="shared" si="0"/>
        <v>0</v>
      </c>
      <c r="D24" s="134">
        <f t="shared" si="19"/>
        <v>0</v>
      </c>
      <c r="E24" s="134">
        <f t="shared" si="20"/>
        <v>0</v>
      </c>
      <c r="F24" s="134">
        <f t="shared" si="21"/>
        <v>0</v>
      </c>
      <c r="G24" s="134">
        <f t="shared" si="22"/>
        <v>0</v>
      </c>
      <c r="H24" s="134">
        <f t="shared" si="23"/>
        <v>0</v>
      </c>
      <c r="I24" s="134">
        <f t="shared" si="24"/>
        <v>0</v>
      </c>
      <c r="J24" s="135">
        <v>0.5</v>
      </c>
      <c r="K24" s="135">
        <v>0.42</v>
      </c>
      <c r="L24" s="135">
        <v>0.25</v>
      </c>
      <c r="M24" s="135">
        <v>0.65</v>
      </c>
      <c r="N24" s="135">
        <v>0.5</v>
      </c>
      <c r="O24" s="135">
        <v>0.42</v>
      </c>
      <c r="P24" s="135">
        <v>0.25</v>
      </c>
    </row>
    <row r="25" spans="1:16" x14ac:dyDescent="0.2">
      <c r="A25" s="137" t="s">
        <v>80</v>
      </c>
      <c r="B25" s="138"/>
      <c r="C25" s="138"/>
      <c r="D25" s="138"/>
      <c r="E25" s="138"/>
      <c r="F25" s="138"/>
      <c r="G25" s="139"/>
      <c r="H25" s="138"/>
      <c r="I25" s="138"/>
      <c r="J25" s="138"/>
      <c r="K25" s="138"/>
      <c r="L25" s="138"/>
      <c r="M25" s="138"/>
      <c r="N25" s="138"/>
      <c r="O25" s="138"/>
      <c r="P25" s="138"/>
    </row>
    <row r="26" spans="1:16" x14ac:dyDescent="0.2">
      <c r="A26" s="140" t="s">
        <v>81</v>
      </c>
      <c r="B26" s="142"/>
      <c r="C26" s="134">
        <f t="shared" si="0"/>
        <v>0</v>
      </c>
      <c r="D26" s="134">
        <f t="shared" ref="D26:D33" si="25">ROUND((+$B26*K26),2)</f>
        <v>0</v>
      </c>
      <c r="E26" s="134">
        <f t="shared" ref="E26:E33" si="26">ROUND((+$B26*L26),2)</f>
        <v>0</v>
      </c>
      <c r="F26" s="134">
        <f t="shared" ref="F26:F33" si="27">ROUND((+$B26*M26),2)</f>
        <v>0</v>
      </c>
      <c r="G26" s="134">
        <f t="shared" ref="G26:G33" si="28">ROUND((+$F26*N26),2)</f>
        <v>0</v>
      </c>
      <c r="H26" s="134">
        <f t="shared" ref="H26:H32" si="29">ROUND((+$F26*O26),2)</f>
        <v>0</v>
      </c>
      <c r="I26" s="134">
        <f t="shared" ref="I26:I33" si="30">ROUND((+F26*P26),2)</f>
        <v>0</v>
      </c>
      <c r="J26" s="135">
        <v>0</v>
      </c>
      <c r="K26" s="135">
        <v>0.42</v>
      </c>
      <c r="L26" s="135">
        <v>0</v>
      </c>
      <c r="M26" s="135">
        <v>0.65</v>
      </c>
      <c r="N26" s="135">
        <v>0</v>
      </c>
      <c r="O26" s="135">
        <v>0.42</v>
      </c>
      <c r="P26" s="135">
        <v>0</v>
      </c>
    </row>
    <row r="27" spans="1:16" x14ac:dyDescent="0.2">
      <c r="A27" s="143" t="s">
        <v>82</v>
      </c>
      <c r="B27" s="142"/>
      <c r="C27" s="134">
        <f t="shared" si="0"/>
        <v>0</v>
      </c>
      <c r="D27" s="134">
        <f t="shared" si="25"/>
        <v>0</v>
      </c>
      <c r="E27" s="134">
        <f t="shared" si="26"/>
        <v>0</v>
      </c>
      <c r="F27" s="134">
        <f t="shared" si="27"/>
        <v>0</v>
      </c>
      <c r="G27" s="134">
        <f t="shared" si="28"/>
        <v>0</v>
      </c>
      <c r="H27" s="134">
        <f t="shared" si="29"/>
        <v>0</v>
      </c>
      <c r="I27" s="134">
        <f>ROUNDDOWN((+F27*P27),2)</f>
        <v>0</v>
      </c>
      <c r="J27" s="135">
        <v>0.5</v>
      </c>
      <c r="K27" s="135">
        <v>0.42</v>
      </c>
      <c r="L27" s="135">
        <v>0.25</v>
      </c>
      <c r="M27" s="135">
        <v>0.65</v>
      </c>
      <c r="N27" s="135">
        <v>0.5</v>
      </c>
      <c r="O27" s="135">
        <v>0.42</v>
      </c>
      <c r="P27" s="135">
        <v>0.25</v>
      </c>
    </row>
    <row r="28" spans="1:16" x14ac:dyDescent="0.2">
      <c r="A28" s="140" t="s">
        <v>83</v>
      </c>
      <c r="B28" s="142"/>
      <c r="C28" s="134">
        <f t="shared" si="0"/>
        <v>0</v>
      </c>
      <c r="D28" s="134">
        <f t="shared" si="25"/>
        <v>0</v>
      </c>
      <c r="E28" s="134">
        <f t="shared" si="26"/>
        <v>0</v>
      </c>
      <c r="F28" s="134">
        <f t="shared" si="27"/>
        <v>0</v>
      </c>
      <c r="G28" s="134">
        <f t="shared" si="28"/>
        <v>0</v>
      </c>
      <c r="H28" s="134">
        <f t="shared" si="29"/>
        <v>0</v>
      </c>
      <c r="I28" s="134">
        <f t="shared" si="30"/>
        <v>0</v>
      </c>
      <c r="J28" s="135">
        <v>0</v>
      </c>
      <c r="K28" s="135">
        <v>0.42</v>
      </c>
      <c r="L28" s="135">
        <v>0</v>
      </c>
      <c r="M28" s="135">
        <v>0</v>
      </c>
      <c r="N28" s="135">
        <v>0</v>
      </c>
      <c r="O28" s="135">
        <v>0</v>
      </c>
      <c r="P28" s="135">
        <v>0</v>
      </c>
    </row>
    <row r="29" spans="1:16" x14ac:dyDescent="0.2">
      <c r="A29" s="141" t="s">
        <v>84</v>
      </c>
      <c r="B29" s="133"/>
      <c r="C29" s="134">
        <f t="shared" si="0"/>
        <v>0</v>
      </c>
      <c r="D29" s="134">
        <f t="shared" si="25"/>
        <v>0</v>
      </c>
      <c r="E29" s="134">
        <f t="shared" si="26"/>
        <v>0</v>
      </c>
      <c r="F29" s="134">
        <f t="shared" si="27"/>
        <v>0</v>
      </c>
      <c r="G29" s="134">
        <f t="shared" si="28"/>
        <v>0</v>
      </c>
      <c r="H29" s="134">
        <f t="shared" si="29"/>
        <v>0</v>
      </c>
      <c r="I29" s="134">
        <f t="shared" si="30"/>
        <v>0</v>
      </c>
      <c r="J29" s="135">
        <v>0</v>
      </c>
      <c r="K29" s="135">
        <v>0.42</v>
      </c>
      <c r="L29" s="135">
        <v>0</v>
      </c>
      <c r="M29" s="135">
        <v>0.65</v>
      </c>
      <c r="N29" s="135">
        <v>0</v>
      </c>
      <c r="O29" s="135">
        <v>0.42</v>
      </c>
      <c r="P29" s="135">
        <v>0</v>
      </c>
    </row>
    <row r="30" spans="1:16" x14ac:dyDescent="0.2">
      <c r="A30" s="144" t="s">
        <v>85</v>
      </c>
      <c r="B30" s="133"/>
      <c r="C30" s="134">
        <f t="shared" si="0"/>
        <v>0</v>
      </c>
      <c r="D30" s="134">
        <f t="shared" si="25"/>
        <v>0</v>
      </c>
      <c r="E30" s="134">
        <f t="shared" si="26"/>
        <v>0</v>
      </c>
      <c r="F30" s="134">
        <f t="shared" si="27"/>
        <v>0</v>
      </c>
      <c r="G30" s="134">
        <f t="shared" si="28"/>
        <v>0</v>
      </c>
      <c r="H30" s="134">
        <f t="shared" si="29"/>
        <v>0</v>
      </c>
      <c r="I30" s="134">
        <f t="shared" si="30"/>
        <v>0</v>
      </c>
      <c r="J30" s="135">
        <v>0</v>
      </c>
      <c r="K30" s="135">
        <v>0.42</v>
      </c>
      <c r="L30" s="135">
        <v>0</v>
      </c>
      <c r="M30" s="135">
        <v>0.65</v>
      </c>
      <c r="N30" s="135">
        <v>0</v>
      </c>
      <c r="O30" s="135">
        <v>0.42</v>
      </c>
      <c r="P30" s="135">
        <v>0</v>
      </c>
    </row>
    <row r="31" spans="1:16" x14ac:dyDescent="0.2">
      <c r="A31" s="141" t="s">
        <v>86</v>
      </c>
      <c r="B31" s="133"/>
      <c r="C31" s="134">
        <f t="shared" si="0"/>
        <v>0</v>
      </c>
      <c r="D31" s="134">
        <f t="shared" si="25"/>
        <v>0</v>
      </c>
      <c r="E31" s="134">
        <f t="shared" si="26"/>
        <v>0</v>
      </c>
      <c r="F31" s="134">
        <f t="shared" si="27"/>
        <v>0</v>
      </c>
      <c r="G31" s="134">
        <f t="shared" si="28"/>
        <v>0</v>
      </c>
      <c r="H31" s="134">
        <f t="shared" si="29"/>
        <v>0</v>
      </c>
      <c r="I31" s="134">
        <f t="shared" si="30"/>
        <v>0</v>
      </c>
      <c r="J31" s="135">
        <v>0</v>
      </c>
      <c r="K31" s="135">
        <v>0</v>
      </c>
      <c r="L31" s="135">
        <v>0</v>
      </c>
      <c r="M31" s="135">
        <v>0.65</v>
      </c>
      <c r="N31" s="135">
        <v>0</v>
      </c>
      <c r="O31" s="135">
        <v>0</v>
      </c>
      <c r="P31" s="135">
        <v>0</v>
      </c>
    </row>
    <row r="32" spans="1:16" x14ac:dyDescent="0.2">
      <c r="A32" s="141" t="s">
        <v>87</v>
      </c>
      <c r="B32" s="133"/>
      <c r="C32" s="134">
        <f t="shared" si="0"/>
        <v>0</v>
      </c>
      <c r="D32" s="134">
        <f t="shared" si="25"/>
        <v>0</v>
      </c>
      <c r="E32" s="134">
        <f t="shared" si="26"/>
        <v>0</v>
      </c>
      <c r="F32" s="134">
        <f t="shared" si="27"/>
        <v>0</v>
      </c>
      <c r="G32" s="134">
        <f t="shared" si="28"/>
        <v>0</v>
      </c>
      <c r="H32" s="134">
        <f t="shared" si="29"/>
        <v>0</v>
      </c>
      <c r="I32" s="134">
        <f t="shared" si="30"/>
        <v>0</v>
      </c>
      <c r="J32" s="135">
        <v>0</v>
      </c>
      <c r="K32" s="135">
        <v>0.42</v>
      </c>
      <c r="L32" s="135">
        <v>0</v>
      </c>
      <c r="M32" s="135">
        <v>0.65</v>
      </c>
      <c r="N32" s="135">
        <v>0</v>
      </c>
      <c r="O32" s="135">
        <v>0.42</v>
      </c>
      <c r="P32" s="135">
        <v>0</v>
      </c>
    </row>
    <row r="33" spans="1:16" x14ac:dyDescent="0.2">
      <c r="A33" s="141" t="s">
        <v>88</v>
      </c>
      <c r="B33" s="133"/>
      <c r="C33" s="134">
        <f t="shared" si="0"/>
        <v>0</v>
      </c>
      <c r="D33" s="134">
        <f t="shared" si="25"/>
        <v>0</v>
      </c>
      <c r="E33" s="134">
        <f t="shared" si="26"/>
        <v>0</v>
      </c>
      <c r="F33" s="134">
        <f t="shared" si="27"/>
        <v>0</v>
      </c>
      <c r="G33" s="134">
        <f t="shared" si="28"/>
        <v>0</v>
      </c>
      <c r="H33" s="134">
        <f>ROUNDDOWN((+$F33*O33),2)</f>
        <v>0</v>
      </c>
      <c r="I33" s="134">
        <f t="shared" si="30"/>
        <v>0</v>
      </c>
      <c r="J33" s="135">
        <v>0</v>
      </c>
      <c r="K33" s="135">
        <v>0.42</v>
      </c>
      <c r="L33" s="135">
        <v>0</v>
      </c>
      <c r="M33" s="135">
        <v>0.65</v>
      </c>
      <c r="N33" s="135">
        <v>0</v>
      </c>
      <c r="O33" s="135">
        <v>0.42</v>
      </c>
      <c r="P33" s="135">
        <v>0</v>
      </c>
    </row>
    <row r="34" spans="1:16" x14ac:dyDescent="0.2">
      <c r="B34" s="145"/>
      <c r="C34" s="145"/>
      <c r="D34" s="145"/>
      <c r="E34" s="145"/>
      <c r="F34" s="145"/>
      <c r="G34" s="145"/>
      <c r="H34" s="145"/>
      <c r="I34" s="145"/>
      <c r="M34" s="135"/>
    </row>
    <row r="35" spans="1:16" ht="13.5" thickBot="1" x14ac:dyDescent="0.25">
      <c r="A35" s="146" t="s">
        <v>89</v>
      </c>
      <c r="B35" s="147">
        <f>SUM(B6:B33)</f>
        <v>30.5</v>
      </c>
      <c r="C35" s="147">
        <f t="shared" ref="C35:I35" si="31">SUM(C6:C33)</f>
        <v>15.25</v>
      </c>
      <c r="D35" s="147">
        <f t="shared" si="31"/>
        <v>12.81</v>
      </c>
      <c r="E35" s="147">
        <f t="shared" si="31"/>
        <v>7.63</v>
      </c>
      <c r="F35" s="147">
        <f t="shared" si="31"/>
        <v>19.829999999999998</v>
      </c>
      <c r="G35" s="147">
        <f t="shared" si="31"/>
        <v>9.91</v>
      </c>
      <c r="H35" s="147">
        <f t="shared" si="31"/>
        <v>8.33</v>
      </c>
      <c r="I35" s="147">
        <f t="shared" si="31"/>
        <v>4.96</v>
      </c>
      <c r="M35" s="135"/>
    </row>
  </sheetData>
  <mergeCells count="5">
    <mergeCell ref="A1:P1"/>
    <mergeCell ref="A2:P2"/>
    <mergeCell ref="A3:P3"/>
    <mergeCell ref="B4:I4"/>
    <mergeCell ref="J4:P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44"/>
  <sheetViews>
    <sheetView zoomScale="80" zoomScaleNormal="80" workbookViewId="0">
      <selection activeCell="E10" sqref="E10"/>
    </sheetView>
  </sheetViews>
  <sheetFormatPr defaultColWidth="9.140625" defaultRowHeight="12.75" x14ac:dyDescent="0.2"/>
  <cols>
    <col min="1" max="1" width="14.42578125" style="153" customWidth="1"/>
    <col min="2" max="2" width="8.85546875" style="153" customWidth="1"/>
    <col min="3" max="3" width="67.140625" style="129" customWidth="1"/>
    <col min="4" max="4" width="1.85546875" style="129" customWidth="1"/>
    <col min="5" max="5" width="13.5703125" style="129" customWidth="1"/>
    <col min="6" max="8" width="11.5703125" style="129" customWidth="1"/>
    <col min="9" max="9" width="1.5703125" style="129" customWidth="1"/>
    <col min="10" max="10" width="12.28515625" style="129" bestFit="1" customWidth="1"/>
    <col min="11" max="11" width="11.5703125" style="129" customWidth="1"/>
    <col min="12" max="12" width="12.28515625" style="129" bestFit="1" customWidth="1"/>
    <col min="13" max="13" width="11.5703125" style="129" customWidth="1"/>
    <col min="14" max="14" width="1.7109375" style="129" customWidth="1"/>
    <col min="15" max="15" width="14.42578125" style="129" customWidth="1"/>
    <col min="16" max="16" width="15.28515625" style="129" customWidth="1"/>
    <col min="17" max="17" width="18.42578125" style="129" customWidth="1"/>
    <col min="18" max="18" width="16" style="129" customWidth="1"/>
    <col min="19" max="20" width="11.5703125" style="129" customWidth="1"/>
    <col min="21" max="21" width="11.28515625" style="129" customWidth="1"/>
    <col min="22" max="22" width="11.5703125" style="129" customWidth="1"/>
    <col min="23" max="23" width="11.28515625" style="129" customWidth="1"/>
    <col min="24" max="24" width="11.5703125" style="129" customWidth="1"/>
    <col min="25" max="25" width="11.5703125" style="22" bestFit="1" customWidth="1"/>
    <col min="26" max="26" width="17.7109375" style="129" bestFit="1" customWidth="1"/>
    <col min="27" max="16384" width="9.140625" style="129"/>
  </cols>
  <sheetData>
    <row r="1" spans="1:25" ht="23.25" x14ac:dyDescent="0.35">
      <c r="A1" s="152"/>
      <c r="B1" s="152"/>
      <c r="C1" s="354" t="s">
        <v>51</v>
      </c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</row>
    <row r="2" spans="1:25" ht="23.25" x14ac:dyDescent="0.35">
      <c r="A2" s="152"/>
      <c r="B2" s="152"/>
      <c r="C2" s="355" t="s">
        <v>128</v>
      </c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</row>
    <row r="3" spans="1:25" ht="23.25" x14ac:dyDescent="0.35">
      <c r="A3" s="152"/>
      <c r="B3" s="152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</row>
    <row r="4" spans="1:25" ht="24" thickBot="1" x14ac:dyDescent="0.4">
      <c r="C4" s="154"/>
      <c r="D4" s="155"/>
      <c r="E4" s="357" t="s">
        <v>52</v>
      </c>
      <c r="F4" s="357"/>
      <c r="G4" s="357"/>
      <c r="H4" s="357"/>
      <c r="I4" s="357"/>
      <c r="J4" s="357"/>
      <c r="K4" s="357"/>
      <c r="L4" s="357"/>
      <c r="M4" s="357"/>
      <c r="N4" s="154"/>
      <c r="O4" s="154"/>
      <c r="P4" s="154"/>
      <c r="Q4" s="151"/>
      <c r="R4" s="357" t="s">
        <v>53</v>
      </c>
      <c r="S4" s="357"/>
      <c r="T4" s="357"/>
      <c r="U4" s="357"/>
      <c r="V4" s="357"/>
      <c r="W4" s="357"/>
      <c r="X4" s="357"/>
    </row>
    <row r="5" spans="1:25" ht="90.75" thickBot="1" x14ac:dyDescent="0.3">
      <c r="A5" s="156" t="s">
        <v>97</v>
      </c>
      <c r="B5" s="157"/>
      <c r="C5" s="158" t="s">
        <v>98</v>
      </c>
      <c r="D5" s="159"/>
      <c r="E5" s="160" t="s">
        <v>55</v>
      </c>
      <c r="F5" s="161" t="s">
        <v>56</v>
      </c>
      <c r="G5" s="162" t="s">
        <v>57</v>
      </c>
      <c r="H5" s="163" t="s">
        <v>58</v>
      </c>
      <c r="I5" s="164"/>
      <c r="J5" s="162" t="s">
        <v>59</v>
      </c>
      <c r="K5" s="162" t="s">
        <v>60</v>
      </c>
      <c r="L5" s="162" t="s">
        <v>61</v>
      </c>
      <c r="M5" s="162" t="s">
        <v>62</v>
      </c>
      <c r="N5" s="164"/>
      <c r="O5" s="160" t="s">
        <v>99</v>
      </c>
      <c r="P5" s="160" t="s">
        <v>100</v>
      </c>
      <c r="R5" s="165" t="s">
        <v>56</v>
      </c>
      <c r="S5" s="165" t="s">
        <v>57</v>
      </c>
      <c r="T5" s="165" t="s">
        <v>58</v>
      </c>
      <c r="U5" s="165" t="s">
        <v>59</v>
      </c>
      <c r="V5" s="165" t="s">
        <v>60</v>
      </c>
      <c r="W5" s="165" t="s">
        <v>61</v>
      </c>
      <c r="X5" s="165" t="s">
        <v>62</v>
      </c>
    </row>
    <row r="6" spans="1:25" ht="16.5" thickBot="1" x14ac:dyDescent="0.3">
      <c r="A6" s="166"/>
      <c r="B6" s="167"/>
      <c r="C6" s="168" t="s">
        <v>101</v>
      </c>
      <c r="D6" s="169"/>
      <c r="E6" s="170">
        <v>25150</v>
      </c>
      <c r="F6" s="171">
        <v>200</v>
      </c>
      <c r="G6" s="172">
        <v>1025</v>
      </c>
      <c r="H6" s="173">
        <v>0</v>
      </c>
      <c r="I6" s="174"/>
      <c r="J6" s="175">
        <v>1700</v>
      </c>
      <c r="K6" s="176">
        <v>50</v>
      </c>
      <c r="L6" s="172">
        <v>2800</v>
      </c>
      <c r="M6" s="177">
        <v>0</v>
      </c>
      <c r="N6" s="174"/>
      <c r="O6" s="178">
        <f>SUM(E6:M6)</f>
        <v>30925</v>
      </c>
      <c r="P6" s="178">
        <f>SUM(E6:M6)</f>
        <v>30925</v>
      </c>
      <c r="R6" s="179"/>
      <c r="S6" s="180"/>
      <c r="T6" s="180"/>
      <c r="U6" s="180"/>
      <c r="V6" s="180"/>
      <c r="W6" s="180"/>
      <c r="X6" s="180"/>
    </row>
    <row r="7" spans="1:25" ht="16.5" thickBot="1" x14ac:dyDescent="0.3">
      <c r="A7" s="181"/>
      <c r="B7" s="182"/>
      <c r="C7" s="183"/>
      <c r="D7" s="183"/>
      <c r="E7" s="184"/>
      <c r="F7" s="185"/>
      <c r="G7" s="186"/>
      <c r="H7" s="187"/>
      <c r="I7" s="186"/>
      <c r="J7" s="186"/>
      <c r="K7" s="186"/>
      <c r="L7" s="186"/>
      <c r="M7" s="186"/>
      <c r="N7" s="186"/>
      <c r="O7" s="188"/>
      <c r="P7" s="188"/>
      <c r="R7" s="179"/>
      <c r="S7" s="180"/>
      <c r="T7" s="180"/>
      <c r="U7" s="180"/>
      <c r="V7" s="180"/>
      <c r="W7" s="180"/>
      <c r="X7" s="180"/>
    </row>
    <row r="8" spans="1:25" ht="16.5" thickBot="1" x14ac:dyDescent="0.3">
      <c r="A8" s="189">
        <v>1</v>
      </c>
      <c r="B8" s="182"/>
      <c r="C8" s="190" t="s">
        <v>102</v>
      </c>
      <c r="D8" s="191"/>
      <c r="E8" s="192">
        <v>26.23</v>
      </c>
      <c r="F8" s="193">
        <f t="shared" ref="F8:H9" si="0">ROUND($E8*R8,2)</f>
        <v>13.12</v>
      </c>
      <c r="G8" s="194">
        <f t="shared" si="0"/>
        <v>11.02</v>
      </c>
      <c r="H8" s="195">
        <f t="shared" si="0"/>
        <v>6.56</v>
      </c>
      <c r="I8" s="196"/>
      <c r="J8" s="194">
        <f>ROUND($E8*U8,2)</f>
        <v>17.05</v>
      </c>
      <c r="K8" s="194">
        <f>ROUND($J8*V8,2)</f>
        <v>8.5299999999999994</v>
      </c>
      <c r="L8" s="194">
        <f>ROUND($J8*W8,2)</f>
        <v>7.16</v>
      </c>
      <c r="M8" s="195">
        <f>ROUND(J8*X8,2)</f>
        <v>4.26</v>
      </c>
      <c r="N8" s="197"/>
      <c r="O8" s="198">
        <f>A8*(($E$6*E8)+($F$6*F8)+($G$6*G8)+($H$6*H8)+($J$6*J8)+($K$6*K8)+($L$6*L8)+($M$6*M8))</f>
        <v>723063.5</v>
      </c>
      <c r="P8" s="198">
        <f>2*(($E$6*E8)+($F$6*F8)+($G$6*G8)+($H$6*H8))+(($J$6*J8)+($K$6*K8)+($L$6*L8)+($M$6*M8))</f>
        <v>1396667.5</v>
      </c>
      <c r="R8" s="199">
        <v>0.5</v>
      </c>
      <c r="S8" s="199">
        <v>0.42</v>
      </c>
      <c r="T8" s="199">
        <v>0.25</v>
      </c>
      <c r="U8" s="199">
        <v>0.65</v>
      </c>
      <c r="V8" s="199">
        <v>0.5</v>
      </c>
      <c r="W8" s="199">
        <v>0.42</v>
      </c>
      <c r="X8" s="199">
        <v>0.25</v>
      </c>
    </row>
    <row r="9" spans="1:25" ht="16.5" thickBot="1" x14ac:dyDescent="0.3">
      <c r="A9" s="189">
        <v>1</v>
      </c>
      <c r="B9" s="182"/>
      <c r="C9" s="190" t="s">
        <v>103</v>
      </c>
      <c r="D9" s="191"/>
      <c r="E9" s="200">
        <v>4.2699999999999996</v>
      </c>
      <c r="F9" s="193">
        <f t="shared" si="0"/>
        <v>2.14</v>
      </c>
      <c r="G9" s="194">
        <f t="shared" si="0"/>
        <v>1.79</v>
      </c>
      <c r="H9" s="195">
        <f t="shared" si="0"/>
        <v>1.07</v>
      </c>
      <c r="I9" s="196"/>
      <c r="J9" s="194">
        <f>ROUND($E9*U9,2)</f>
        <v>2.78</v>
      </c>
      <c r="K9" s="194">
        <f>ROUND($J9*V9,2)</f>
        <v>1.39</v>
      </c>
      <c r="L9" s="194">
        <f>ROUND($J9*W9,2)</f>
        <v>1.17</v>
      </c>
      <c r="M9" s="195">
        <f>ROUND($J9*X9,2)</f>
        <v>0.7</v>
      </c>
      <c r="N9" s="197"/>
      <c r="O9" s="201">
        <f>A9*(($E$6*E9)+($F$6*F9)+($G$6*G9)+($H$6*H9)+($J$6*J9)+($K$6*K9)+($L$6*L9)+($M$6*M9))</f>
        <v>117724.74999999999</v>
      </c>
      <c r="P9" s="201">
        <f>2*(($E$6*E9)+($F$6*F9)+($G$6*G9)+($H$6*H9))+(($J$6*J9)+($K$6*K9)+($L$6*L9)+($M$6*M9))</f>
        <v>227377.99999999997</v>
      </c>
      <c r="R9" s="199">
        <v>0.5</v>
      </c>
      <c r="S9" s="199">
        <v>0.42</v>
      </c>
      <c r="T9" s="199">
        <v>0.25</v>
      </c>
      <c r="U9" s="199">
        <v>0.65</v>
      </c>
      <c r="V9" s="199">
        <v>0.5</v>
      </c>
      <c r="W9" s="199">
        <v>0.42</v>
      </c>
      <c r="X9" s="199">
        <v>0.25</v>
      </c>
    </row>
    <row r="10" spans="1:25" ht="15.75" x14ac:dyDescent="0.25">
      <c r="A10" s="181"/>
      <c r="B10" s="182"/>
      <c r="C10" s="183"/>
      <c r="D10" s="183"/>
      <c r="E10" s="202"/>
      <c r="F10" s="203"/>
      <c r="G10" s="204"/>
      <c r="H10" s="205"/>
      <c r="I10" s="204"/>
      <c r="J10" s="204"/>
      <c r="K10" s="204"/>
      <c r="L10" s="204"/>
      <c r="M10" s="204"/>
      <c r="N10" s="204"/>
      <c r="O10" s="206"/>
      <c r="P10" s="207"/>
      <c r="R10" s="179"/>
      <c r="S10" s="180"/>
      <c r="T10" s="180"/>
      <c r="U10" s="180"/>
      <c r="V10" s="180"/>
      <c r="W10" s="180"/>
      <c r="X10" s="180"/>
    </row>
    <row r="11" spans="1:25" hidden="1" x14ac:dyDescent="0.2">
      <c r="A11" s="208">
        <v>0</v>
      </c>
      <c r="B11" s="209">
        <v>2.769479858187184</v>
      </c>
      <c r="C11" s="210" t="s">
        <v>104</v>
      </c>
      <c r="D11" s="211"/>
      <c r="E11" s="212">
        <f t="shared" ref="E11:E28" si="1">IF(A11=0,0,B11*A11)</f>
        <v>0</v>
      </c>
      <c r="F11" s="213">
        <f t="shared" ref="F11:H27" si="2">$E11*R11</f>
        <v>0</v>
      </c>
      <c r="G11" s="214">
        <f t="shared" si="2"/>
        <v>0</v>
      </c>
      <c r="H11" s="215">
        <f t="shared" si="2"/>
        <v>0</v>
      </c>
      <c r="I11" s="216"/>
      <c r="J11" s="213">
        <f>$E11*U11</f>
        <v>0</v>
      </c>
      <c r="K11" s="214">
        <f t="shared" ref="K11:L27" si="3">$J11*V11</f>
        <v>0</v>
      </c>
      <c r="L11" s="214">
        <f t="shared" si="3"/>
        <v>0</v>
      </c>
      <c r="M11" s="217">
        <f>J11*X11</f>
        <v>0</v>
      </c>
      <c r="N11" s="197"/>
      <c r="O11" s="218">
        <f t="shared" ref="O11:O28" si="4">(($E$6*E11)+($F$6*F11)+($G$6*G11)+($H$6*H11)+($J$6*J11)+($K$6*K11)+($L$6*L11)+($M$6*M11))</f>
        <v>0</v>
      </c>
      <c r="P11" s="219">
        <f t="shared" ref="P11:P28" si="5">2*(($E$6*E11)+($F$6*F11)+($G$6*G11)+($H$6*H11))+(($J$6*J11)+($K$6*K11)+($L$6*L11)+($M$6*M11))</f>
        <v>0</v>
      </c>
      <c r="R11" s="199">
        <v>0.5</v>
      </c>
      <c r="S11" s="199">
        <v>0.42</v>
      </c>
      <c r="T11" s="199">
        <v>0.25</v>
      </c>
      <c r="U11" s="199">
        <v>0.65</v>
      </c>
      <c r="V11" s="199">
        <v>0.5</v>
      </c>
      <c r="W11" s="199">
        <v>0.42</v>
      </c>
      <c r="X11" s="199">
        <v>0.25</v>
      </c>
      <c r="Y11" s="61">
        <v>147191</v>
      </c>
    </row>
    <row r="12" spans="1:25" hidden="1" x14ac:dyDescent="0.2">
      <c r="A12" s="220">
        <v>0</v>
      </c>
      <c r="B12" s="221">
        <v>0.93639355736697072</v>
      </c>
      <c r="C12" s="222" t="s">
        <v>105</v>
      </c>
      <c r="D12" s="223"/>
      <c r="E12" s="224">
        <f t="shared" si="1"/>
        <v>0</v>
      </c>
      <c r="F12" s="225">
        <f t="shared" si="2"/>
        <v>0</v>
      </c>
      <c r="G12" s="226">
        <f t="shared" si="2"/>
        <v>0</v>
      </c>
      <c r="H12" s="227">
        <f t="shared" si="2"/>
        <v>0</v>
      </c>
      <c r="I12" s="228"/>
      <c r="J12" s="225">
        <f t="shared" ref="J12:J28" si="6">$E12*U12</f>
        <v>0</v>
      </c>
      <c r="K12" s="226">
        <f t="shared" si="3"/>
        <v>0</v>
      </c>
      <c r="L12" s="226">
        <f t="shared" si="3"/>
        <v>0</v>
      </c>
      <c r="M12" s="229">
        <f t="shared" ref="M12:M28" si="7">J12*X12</f>
        <v>0</v>
      </c>
      <c r="N12" s="228"/>
      <c r="O12" s="230">
        <f t="shared" si="4"/>
        <v>0</v>
      </c>
      <c r="P12" s="231">
        <f t="shared" si="5"/>
        <v>0</v>
      </c>
      <c r="R12" s="199">
        <v>0.5</v>
      </c>
      <c r="S12" s="199">
        <v>0.42</v>
      </c>
      <c r="T12" s="199">
        <v>0.25</v>
      </c>
      <c r="U12" s="199">
        <v>0.65</v>
      </c>
      <c r="V12" s="199">
        <v>0.5</v>
      </c>
      <c r="W12" s="199">
        <v>0.42</v>
      </c>
      <c r="X12" s="199">
        <v>0.25</v>
      </c>
      <c r="Y12" s="61">
        <v>49767</v>
      </c>
    </row>
    <row r="13" spans="1:25" hidden="1" x14ac:dyDescent="0.2">
      <c r="A13" s="220">
        <v>0</v>
      </c>
      <c r="B13" s="232">
        <v>0.46724659332678198</v>
      </c>
      <c r="C13" s="222" t="s">
        <v>106</v>
      </c>
      <c r="D13" s="223"/>
      <c r="E13" s="224">
        <f t="shared" si="1"/>
        <v>0</v>
      </c>
      <c r="F13" s="225">
        <f t="shared" si="2"/>
        <v>0</v>
      </c>
      <c r="G13" s="226">
        <f t="shared" si="2"/>
        <v>0</v>
      </c>
      <c r="H13" s="227">
        <f t="shared" si="2"/>
        <v>0</v>
      </c>
      <c r="I13" s="228"/>
      <c r="J13" s="225">
        <f t="shared" si="6"/>
        <v>0</v>
      </c>
      <c r="K13" s="226">
        <f t="shared" si="3"/>
        <v>0</v>
      </c>
      <c r="L13" s="226">
        <f t="shared" si="3"/>
        <v>0</v>
      </c>
      <c r="M13" s="229">
        <f t="shared" si="7"/>
        <v>0</v>
      </c>
      <c r="N13" s="228"/>
      <c r="O13" s="230">
        <f t="shared" si="4"/>
        <v>0</v>
      </c>
      <c r="P13" s="231">
        <f t="shared" si="5"/>
        <v>0</v>
      </c>
      <c r="R13" s="199">
        <v>0.5</v>
      </c>
      <c r="S13" s="199">
        <v>0.42</v>
      </c>
      <c r="T13" s="199">
        <v>0.25</v>
      </c>
      <c r="U13" s="199">
        <v>0.65</v>
      </c>
      <c r="V13" s="199">
        <v>0.5</v>
      </c>
      <c r="W13" s="199">
        <v>0.42</v>
      </c>
      <c r="X13" s="199">
        <v>0.25</v>
      </c>
      <c r="Y13" s="22">
        <v>24833</v>
      </c>
    </row>
    <row r="14" spans="1:25" ht="13.5" hidden="1" thickBot="1" x14ac:dyDescent="0.25">
      <c r="A14" s="233">
        <v>0</v>
      </c>
      <c r="B14" s="232">
        <v>1.1704966505966177</v>
      </c>
      <c r="C14" s="222" t="s">
        <v>107</v>
      </c>
      <c r="D14" s="223"/>
      <c r="E14" s="234">
        <f t="shared" si="1"/>
        <v>0</v>
      </c>
      <c r="F14" s="235">
        <f t="shared" si="2"/>
        <v>0</v>
      </c>
      <c r="G14" s="236">
        <f t="shared" si="2"/>
        <v>0</v>
      </c>
      <c r="H14" s="237">
        <f t="shared" si="2"/>
        <v>0</v>
      </c>
      <c r="I14" s="238"/>
      <c r="J14" s="235">
        <f t="shared" si="6"/>
        <v>0</v>
      </c>
      <c r="K14" s="236">
        <f t="shared" si="3"/>
        <v>0</v>
      </c>
      <c r="L14" s="236">
        <f t="shared" si="3"/>
        <v>0</v>
      </c>
      <c r="M14" s="239">
        <f t="shared" si="7"/>
        <v>0</v>
      </c>
      <c r="N14" s="204"/>
      <c r="O14" s="240">
        <f t="shared" si="4"/>
        <v>0</v>
      </c>
      <c r="P14" s="241">
        <f t="shared" si="5"/>
        <v>0</v>
      </c>
      <c r="R14" s="199">
        <v>0.5</v>
      </c>
      <c r="S14" s="199">
        <v>0.42</v>
      </c>
      <c r="T14" s="199">
        <v>0.25</v>
      </c>
      <c r="U14" s="199">
        <v>0.65</v>
      </c>
      <c r="V14" s="199">
        <v>0.5</v>
      </c>
      <c r="W14" s="199">
        <v>0.42</v>
      </c>
      <c r="X14" s="199">
        <v>0.25</v>
      </c>
      <c r="Y14" s="22">
        <v>62209</v>
      </c>
    </row>
    <row r="15" spans="1:25" ht="13.5" hidden="1" thickBot="1" x14ac:dyDescent="0.25">
      <c r="A15" s="242">
        <v>0</v>
      </c>
      <c r="B15" s="243">
        <v>0.23410309322964712</v>
      </c>
      <c r="C15" s="244" t="s">
        <v>108</v>
      </c>
      <c r="D15" s="191"/>
      <c r="E15" s="245">
        <f t="shared" si="1"/>
        <v>0</v>
      </c>
      <c r="F15" s="246">
        <f t="shared" si="2"/>
        <v>0</v>
      </c>
      <c r="G15" s="247">
        <f t="shared" si="2"/>
        <v>0</v>
      </c>
      <c r="H15" s="248">
        <f t="shared" si="2"/>
        <v>0</v>
      </c>
      <c r="I15" s="196"/>
      <c r="J15" s="246">
        <f t="shared" si="6"/>
        <v>0</v>
      </c>
      <c r="K15" s="247">
        <f t="shared" si="3"/>
        <v>0</v>
      </c>
      <c r="L15" s="247">
        <f t="shared" si="3"/>
        <v>0</v>
      </c>
      <c r="M15" s="249">
        <f t="shared" si="7"/>
        <v>0</v>
      </c>
      <c r="N15" s="196"/>
      <c r="O15" s="250">
        <f t="shared" si="4"/>
        <v>0</v>
      </c>
      <c r="P15" s="251">
        <f t="shared" si="5"/>
        <v>0</v>
      </c>
      <c r="R15" s="199">
        <v>0.5</v>
      </c>
      <c r="S15" s="199">
        <v>0.42</v>
      </c>
      <c r="T15" s="199">
        <v>0.25</v>
      </c>
      <c r="U15" s="199">
        <v>0.65</v>
      </c>
      <c r="V15" s="199">
        <v>0.5</v>
      </c>
      <c r="W15" s="199">
        <v>0.42</v>
      </c>
      <c r="X15" s="199">
        <v>0.25</v>
      </c>
      <c r="Y15" s="22">
        <v>12442</v>
      </c>
    </row>
    <row r="16" spans="1:25" hidden="1" x14ac:dyDescent="0.2">
      <c r="A16" s="189">
        <v>0</v>
      </c>
      <c r="B16" s="252">
        <v>0.70229046413732354</v>
      </c>
      <c r="C16" s="253" t="s">
        <v>109</v>
      </c>
      <c r="D16" s="254"/>
      <c r="E16" s="255">
        <f t="shared" si="1"/>
        <v>0</v>
      </c>
      <c r="F16" s="256">
        <f t="shared" si="2"/>
        <v>0</v>
      </c>
      <c r="G16" s="257">
        <f t="shared" si="2"/>
        <v>0</v>
      </c>
      <c r="H16" s="258">
        <f t="shared" si="2"/>
        <v>0</v>
      </c>
      <c r="I16" s="204"/>
      <c r="J16" s="256">
        <f t="shared" si="6"/>
        <v>0</v>
      </c>
      <c r="K16" s="257">
        <f t="shared" si="3"/>
        <v>0</v>
      </c>
      <c r="L16" s="257">
        <f t="shared" si="3"/>
        <v>0</v>
      </c>
      <c r="M16" s="259">
        <f t="shared" si="7"/>
        <v>0</v>
      </c>
      <c r="N16" s="204"/>
      <c r="O16" s="260">
        <f t="shared" si="4"/>
        <v>0</v>
      </c>
      <c r="P16" s="261">
        <f t="shared" si="5"/>
        <v>0</v>
      </c>
      <c r="R16" s="199">
        <v>0.5</v>
      </c>
      <c r="S16" s="199">
        <v>0.42</v>
      </c>
      <c r="T16" s="199">
        <v>0.25</v>
      </c>
      <c r="U16" s="199">
        <v>0.65</v>
      </c>
      <c r="V16" s="199">
        <v>0.5</v>
      </c>
      <c r="W16" s="199">
        <v>0.42</v>
      </c>
      <c r="X16" s="199">
        <v>0.25</v>
      </c>
      <c r="Y16" s="22">
        <v>37325</v>
      </c>
    </row>
    <row r="17" spans="1:27" ht="13.5" hidden="1" thickBot="1" x14ac:dyDescent="0.25">
      <c r="A17" s="262">
        <v>0</v>
      </c>
      <c r="B17" s="221">
        <v>0.46724659332678198</v>
      </c>
      <c r="C17" s="263" t="s">
        <v>110</v>
      </c>
      <c r="D17" s="264"/>
      <c r="E17" s="224">
        <f t="shared" si="1"/>
        <v>0</v>
      </c>
      <c r="F17" s="225">
        <f t="shared" si="2"/>
        <v>0</v>
      </c>
      <c r="G17" s="226">
        <f t="shared" si="2"/>
        <v>0</v>
      </c>
      <c r="H17" s="227">
        <f t="shared" si="2"/>
        <v>0</v>
      </c>
      <c r="I17" s="265"/>
      <c r="J17" s="226">
        <f t="shared" si="6"/>
        <v>0</v>
      </c>
      <c r="K17" s="226">
        <f t="shared" si="3"/>
        <v>0</v>
      </c>
      <c r="L17" s="226">
        <f t="shared" si="3"/>
        <v>0</v>
      </c>
      <c r="M17" s="226">
        <f t="shared" si="7"/>
        <v>0</v>
      </c>
      <c r="N17" s="266"/>
      <c r="O17" s="230">
        <f>(($E$6*E17)+($F$6*F17)+($G$6*G17)+($H$6*H17)+($J$6*J17)+($K$6*K17)+($L$6*L17)+($M$6*M17))</f>
        <v>0</v>
      </c>
      <c r="P17" s="231">
        <f>2*(($E$6*E17)+($F$6*F17)+($G$6*G17)+($H$6*H17))+(($J$6*J17)+($K$6*K17)+($L$6*L17)+($M$6*M17))</f>
        <v>0</v>
      </c>
      <c r="R17" s="199">
        <v>0.5</v>
      </c>
      <c r="S17" s="199">
        <v>0.42</v>
      </c>
      <c r="T17" s="199">
        <v>0.25</v>
      </c>
      <c r="U17" s="199">
        <v>0.65</v>
      </c>
      <c r="V17" s="199">
        <v>0.5</v>
      </c>
      <c r="W17" s="199">
        <v>0.42</v>
      </c>
      <c r="X17" s="199">
        <v>0.25</v>
      </c>
      <c r="Y17" s="22">
        <v>24883</v>
      </c>
    </row>
    <row r="18" spans="1:27" ht="13.5" hidden="1" thickBot="1" x14ac:dyDescent="0.25">
      <c r="A18" s="189">
        <v>0</v>
      </c>
      <c r="B18" s="243">
        <v>0.23410309322964712</v>
      </c>
      <c r="C18" s="267" t="s">
        <v>111</v>
      </c>
      <c r="D18" s="254"/>
      <c r="E18" s="255">
        <f t="shared" si="1"/>
        <v>0</v>
      </c>
      <c r="F18" s="256">
        <f t="shared" si="2"/>
        <v>0</v>
      </c>
      <c r="G18" s="257">
        <f t="shared" si="2"/>
        <v>0</v>
      </c>
      <c r="H18" s="258">
        <f t="shared" si="2"/>
        <v>0</v>
      </c>
      <c r="I18" s="204"/>
      <c r="J18" s="256">
        <f t="shared" si="6"/>
        <v>0</v>
      </c>
      <c r="K18" s="257">
        <f t="shared" si="3"/>
        <v>0</v>
      </c>
      <c r="L18" s="257">
        <f t="shared" si="3"/>
        <v>0</v>
      </c>
      <c r="M18" s="259">
        <f t="shared" si="7"/>
        <v>0</v>
      </c>
      <c r="N18" s="204"/>
      <c r="O18" s="260">
        <f t="shared" si="4"/>
        <v>0</v>
      </c>
      <c r="P18" s="261">
        <f t="shared" si="5"/>
        <v>0</v>
      </c>
      <c r="R18" s="199">
        <v>0.5</v>
      </c>
      <c r="S18" s="199">
        <v>0.42</v>
      </c>
      <c r="T18" s="199">
        <v>0.25</v>
      </c>
      <c r="U18" s="199">
        <v>0.65</v>
      </c>
      <c r="V18" s="199">
        <v>0.5</v>
      </c>
      <c r="W18" s="199">
        <v>0.42</v>
      </c>
      <c r="X18" s="199">
        <v>0.25</v>
      </c>
      <c r="Y18" s="22">
        <v>12442</v>
      </c>
    </row>
    <row r="19" spans="1:27" ht="13.5" hidden="1" thickBot="1" x14ac:dyDescent="0.25">
      <c r="A19" s="242">
        <v>0</v>
      </c>
      <c r="B19" s="243">
        <v>0.46724659332678198</v>
      </c>
      <c r="C19" s="244" t="s">
        <v>112</v>
      </c>
      <c r="D19" s="191"/>
      <c r="E19" s="245">
        <f t="shared" si="1"/>
        <v>0</v>
      </c>
      <c r="F19" s="246">
        <f t="shared" si="2"/>
        <v>0</v>
      </c>
      <c r="G19" s="247">
        <f t="shared" si="2"/>
        <v>0</v>
      </c>
      <c r="H19" s="248">
        <f t="shared" si="2"/>
        <v>0</v>
      </c>
      <c r="I19" s="196"/>
      <c r="J19" s="246">
        <f t="shared" si="6"/>
        <v>0</v>
      </c>
      <c r="K19" s="247">
        <f t="shared" si="3"/>
        <v>0</v>
      </c>
      <c r="L19" s="247">
        <f t="shared" si="3"/>
        <v>0</v>
      </c>
      <c r="M19" s="249">
        <f t="shared" si="7"/>
        <v>0</v>
      </c>
      <c r="N19" s="196"/>
      <c r="O19" s="250">
        <f t="shared" si="4"/>
        <v>0</v>
      </c>
      <c r="P19" s="251">
        <f t="shared" si="5"/>
        <v>0</v>
      </c>
      <c r="R19" s="199">
        <v>0.5</v>
      </c>
      <c r="S19" s="199">
        <v>0.42</v>
      </c>
      <c r="T19" s="199">
        <v>0.25</v>
      </c>
      <c r="U19" s="199">
        <v>0.65</v>
      </c>
      <c r="V19" s="199">
        <v>0.5</v>
      </c>
      <c r="W19" s="199">
        <v>0.42</v>
      </c>
      <c r="X19" s="199">
        <v>0.25</v>
      </c>
      <c r="Y19" s="22">
        <v>24883</v>
      </c>
    </row>
    <row r="20" spans="1:27" ht="13.5" hidden="1" thickBot="1" x14ac:dyDescent="0.25">
      <c r="A20" s="189">
        <v>0</v>
      </c>
      <c r="B20" s="243">
        <v>0.23410309322964712</v>
      </c>
      <c r="C20" s="268" t="s">
        <v>113</v>
      </c>
      <c r="D20" s="269"/>
      <c r="E20" s="255">
        <f t="shared" si="1"/>
        <v>0</v>
      </c>
      <c r="F20" s="256">
        <f t="shared" si="2"/>
        <v>0</v>
      </c>
      <c r="G20" s="257">
        <f t="shared" si="2"/>
        <v>0</v>
      </c>
      <c r="H20" s="258">
        <f t="shared" si="2"/>
        <v>0</v>
      </c>
      <c r="I20" s="204"/>
      <c r="J20" s="256">
        <f t="shared" si="6"/>
        <v>0</v>
      </c>
      <c r="K20" s="257">
        <f t="shared" si="3"/>
        <v>0</v>
      </c>
      <c r="L20" s="257">
        <f t="shared" si="3"/>
        <v>0</v>
      </c>
      <c r="M20" s="259">
        <f t="shared" si="7"/>
        <v>0</v>
      </c>
      <c r="N20" s="204"/>
      <c r="O20" s="260">
        <f t="shared" si="4"/>
        <v>0</v>
      </c>
      <c r="P20" s="261">
        <f t="shared" si="5"/>
        <v>0</v>
      </c>
      <c r="R20" s="199">
        <v>0.5</v>
      </c>
      <c r="S20" s="199">
        <v>0.42</v>
      </c>
      <c r="T20" s="199">
        <v>0.25</v>
      </c>
      <c r="U20" s="199">
        <v>0.65</v>
      </c>
      <c r="V20" s="199">
        <v>0.5</v>
      </c>
      <c r="W20" s="199">
        <v>0.42</v>
      </c>
      <c r="X20" s="199">
        <v>0.25</v>
      </c>
      <c r="Y20" s="22">
        <v>12442</v>
      </c>
    </row>
    <row r="21" spans="1:27" ht="13.5" hidden="1" thickBot="1" x14ac:dyDescent="0.25">
      <c r="A21" s="242">
        <v>0</v>
      </c>
      <c r="B21" s="243">
        <v>0.23410309322964712</v>
      </c>
      <c r="C21" s="244" t="s">
        <v>114</v>
      </c>
      <c r="D21" s="191"/>
      <c r="E21" s="245">
        <f t="shared" si="1"/>
        <v>0</v>
      </c>
      <c r="F21" s="246">
        <f t="shared" si="2"/>
        <v>0</v>
      </c>
      <c r="G21" s="247">
        <f t="shared" si="2"/>
        <v>0</v>
      </c>
      <c r="H21" s="248">
        <f t="shared" si="2"/>
        <v>0</v>
      </c>
      <c r="I21" s="196"/>
      <c r="J21" s="246">
        <f t="shared" si="6"/>
        <v>0</v>
      </c>
      <c r="K21" s="247">
        <f t="shared" si="3"/>
        <v>0</v>
      </c>
      <c r="L21" s="247">
        <f t="shared" si="3"/>
        <v>0</v>
      </c>
      <c r="M21" s="249">
        <f t="shared" si="7"/>
        <v>0</v>
      </c>
      <c r="N21" s="196"/>
      <c r="O21" s="250">
        <f t="shared" si="4"/>
        <v>0</v>
      </c>
      <c r="P21" s="251">
        <f t="shared" si="5"/>
        <v>0</v>
      </c>
      <c r="R21" s="199">
        <v>0.5</v>
      </c>
      <c r="S21" s="199">
        <v>0.42</v>
      </c>
      <c r="T21" s="199">
        <v>0.25</v>
      </c>
      <c r="U21" s="199">
        <v>0.65</v>
      </c>
      <c r="V21" s="199">
        <v>0.5</v>
      </c>
      <c r="W21" s="199">
        <v>0.42</v>
      </c>
      <c r="X21" s="199">
        <v>0.25</v>
      </c>
      <c r="Y21" s="22">
        <v>12442</v>
      </c>
    </row>
    <row r="22" spans="1:27" ht="13.5" hidden="1" thickBot="1" x14ac:dyDescent="0.25">
      <c r="A22" s="242">
        <v>0</v>
      </c>
      <c r="B22" s="243">
        <v>2.5750775788712641</v>
      </c>
      <c r="C22" s="244" t="s">
        <v>115</v>
      </c>
      <c r="D22" s="191"/>
      <c r="E22" s="245">
        <f t="shared" si="1"/>
        <v>0</v>
      </c>
      <c r="F22" s="246">
        <f t="shared" si="2"/>
        <v>0</v>
      </c>
      <c r="G22" s="247">
        <f t="shared" si="2"/>
        <v>0</v>
      </c>
      <c r="H22" s="248">
        <f t="shared" si="2"/>
        <v>0</v>
      </c>
      <c r="I22" s="196"/>
      <c r="J22" s="246">
        <f t="shared" si="6"/>
        <v>0</v>
      </c>
      <c r="K22" s="247">
        <f t="shared" si="3"/>
        <v>0</v>
      </c>
      <c r="L22" s="247">
        <f t="shared" si="3"/>
        <v>0</v>
      </c>
      <c r="M22" s="249">
        <f t="shared" si="7"/>
        <v>0</v>
      </c>
      <c r="N22" s="196"/>
      <c r="O22" s="250">
        <f t="shared" si="4"/>
        <v>0</v>
      </c>
      <c r="P22" s="251">
        <f t="shared" si="5"/>
        <v>0</v>
      </c>
      <c r="R22" s="199">
        <v>0.5</v>
      </c>
      <c r="S22" s="199">
        <v>0.42</v>
      </c>
      <c r="T22" s="199">
        <v>0.25</v>
      </c>
      <c r="U22" s="199">
        <v>0.65</v>
      </c>
      <c r="V22" s="199">
        <v>0.5</v>
      </c>
      <c r="W22" s="199">
        <v>0.42</v>
      </c>
      <c r="X22" s="199">
        <v>0.25</v>
      </c>
      <c r="Y22" s="22">
        <v>136859</v>
      </c>
    </row>
    <row r="23" spans="1:27" hidden="1" x14ac:dyDescent="0.2">
      <c r="A23" s="189">
        <v>0</v>
      </c>
      <c r="B23" s="252">
        <v>3.6511954225526027</v>
      </c>
      <c r="C23" s="268" t="s">
        <v>116</v>
      </c>
      <c r="D23" s="269"/>
      <c r="E23" s="270">
        <f t="shared" si="1"/>
        <v>0</v>
      </c>
      <c r="F23" s="271">
        <f t="shared" si="2"/>
        <v>0</v>
      </c>
      <c r="G23" s="272">
        <f t="shared" si="2"/>
        <v>0</v>
      </c>
      <c r="H23" s="273">
        <f t="shared" si="2"/>
        <v>0</v>
      </c>
      <c r="I23" s="274"/>
      <c r="J23" s="271">
        <f t="shared" si="6"/>
        <v>0</v>
      </c>
      <c r="K23" s="272">
        <f t="shared" si="3"/>
        <v>0</v>
      </c>
      <c r="L23" s="272">
        <f t="shared" si="3"/>
        <v>0</v>
      </c>
      <c r="M23" s="275">
        <f t="shared" si="7"/>
        <v>0</v>
      </c>
      <c r="N23" s="204"/>
      <c r="O23" s="276">
        <f t="shared" si="4"/>
        <v>0</v>
      </c>
      <c r="P23" s="277">
        <f t="shared" si="5"/>
        <v>0</v>
      </c>
      <c r="R23" s="199">
        <v>0.5</v>
      </c>
      <c r="S23" s="199">
        <v>0.42</v>
      </c>
      <c r="T23" s="199">
        <v>0.25</v>
      </c>
      <c r="U23" s="199">
        <v>0.65</v>
      </c>
      <c r="V23" s="199">
        <v>0.5</v>
      </c>
      <c r="W23" s="199">
        <v>0.42</v>
      </c>
      <c r="X23" s="199">
        <v>0.25</v>
      </c>
      <c r="Y23" s="22">
        <v>194052</v>
      </c>
    </row>
    <row r="24" spans="1:27" hidden="1" x14ac:dyDescent="0.2">
      <c r="A24" s="262">
        <v>0</v>
      </c>
      <c r="B24" s="221">
        <v>1.684123578661471</v>
      </c>
      <c r="C24" s="278" t="s">
        <v>117</v>
      </c>
      <c r="D24" s="279"/>
      <c r="E24" s="224">
        <f t="shared" si="1"/>
        <v>0</v>
      </c>
      <c r="F24" s="225">
        <f t="shared" si="2"/>
        <v>0</v>
      </c>
      <c r="G24" s="226">
        <f t="shared" si="2"/>
        <v>0</v>
      </c>
      <c r="H24" s="227">
        <f t="shared" si="2"/>
        <v>0</v>
      </c>
      <c r="I24" s="228"/>
      <c r="J24" s="225">
        <f t="shared" si="6"/>
        <v>0</v>
      </c>
      <c r="K24" s="226">
        <f t="shared" si="3"/>
        <v>0</v>
      </c>
      <c r="L24" s="226">
        <f t="shared" si="3"/>
        <v>0</v>
      </c>
      <c r="M24" s="229">
        <f t="shared" si="7"/>
        <v>0</v>
      </c>
      <c r="N24" s="228"/>
      <c r="O24" s="230">
        <f t="shared" si="4"/>
        <v>0</v>
      </c>
      <c r="P24" s="231">
        <f t="shared" si="5"/>
        <v>0</v>
      </c>
      <c r="R24" s="199">
        <v>0.5</v>
      </c>
      <c r="S24" s="199">
        <v>0.42</v>
      </c>
      <c r="T24" s="199">
        <v>0.25</v>
      </c>
      <c r="U24" s="199">
        <v>0.65</v>
      </c>
      <c r="V24" s="199">
        <v>0.5</v>
      </c>
      <c r="W24" s="199">
        <v>0.42</v>
      </c>
      <c r="X24" s="199">
        <v>0.25</v>
      </c>
      <c r="Y24" s="22">
        <v>89507</v>
      </c>
    </row>
    <row r="25" spans="1:27" hidden="1" x14ac:dyDescent="0.2">
      <c r="A25" s="280">
        <v>0</v>
      </c>
      <c r="B25" s="232">
        <v>3.6359171946388842</v>
      </c>
      <c r="C25" s="281" t="s">
        <v>118</v>
      </c>
      <c r="D25" s="282"/>
      <c r="E25" s="234">
        <f t="shared" si="1"/>
        <v>0</v>
      </c>
      <c r="F25" s="235">
        <f t="shared" si="2"/>
        <v>0</v>
      </c>
      <c r="G25" s="236">
        <f t="shared" si="2"/>
        <v>0</v>
      </c>
      <c r="H25" s="237">
        <f t="shared" si="2"/>
        <v>0</v>
      </c>
      <c r="I25" s="238"/>
      <c r="J25" s="235">
        <f t="shared" si="6"/>
        <v>0</v>
      </c>
      <c r="K25" s="236">
        <f t="shared" si="3"/>
        <v>0</v>
      </c>
      <c r="L25" s="236">
        <f t="shared" si="3"/>
        <v>0</v>
      </c>
      <c r="M25" s="239">
        <f t="shared" si="7"/>
        <v>0</v>
      </c>
      <c r="N25" s="238"/>
      <c r="O25" s="240">
        <f t="shared" si="4"/>
        <v>0</v>
      </c>
      <c r="P25" s="241">
        <f t="shared" si="5"/>
        <v>0</v>
      </c>
      <c r="R25" s="199">
        <v>0.5</v>
      </c>
      <c r="S25" s="199">
        <v>0.42</v>
      </c>
      <c r="T25" s="199">
        <v>0.25</v>
      </c>
      <c r="U25" s="199">
        <v>0.65</v>
      </c>
      <c r="V25" s="199">
        <v>0.5</v>
      </c>
      <c r="W25" s="199">
        <v>0.42</v>
      </c>
      <c r="X25" s="199">
        <v>0.25</v>
      </c>
      <c r="Y25" s="22">
        <f>Y24+103733</f>
        <v>193240</v>
      </c>
    </row>
    <row r="26" spans="1:27" hidden="1" x14ac:dyDescent="0.2">
      <c r="A26" s="233">
        <v>0</v>
      </c>
      <c r="B26" s="232">
        <v>2.0663944223107569</v>
      </c>
      <c r="C26" s="281" t="s">
        <v>119</v>
      </c>
      <c r="D26" s="282"/>
      <c r="E26" s="234">
        <f t="shared" si="1"/>
        <v>0</v>
      </c>
      <c r="F26" s="235">
        <f t="shared" si="2"/>
        <v>0</v>
      </c>
      <c r="G26" s="236">
        <f t="shared" si="2"/>
        <v>0</v>
      </c>
      <c r="H26" s="237">
        <f t="shared" si="2"/>
        <v>0</v>
      </c>
      <c r="I26" s="238"/>
      <c r="J26" s="235">
        <f t="shared" si="6"/>
        <v>0</v>
      </c>
      <c r="K26" s="236">
        <f t="shared" si="3"/>
        <v>0</v>
      </c>
      <c r="L26" s="236">
        <f t="shared" si="3"/>
        <v>0</v>
      </c>
      <c r="M26" s="239">
        <f t="shared" si="7"/>
        <v>0</v>
      </c>
      <c r="N26" s="238"/>
      <c r="O26" s="240">
        <f t="shared" si="4"/>
        <v>0</v>
      </c>
      <c r="P26" s="241">
        <f t="shared" si="5"/>
        <v>0</v>
      </c>
      <c r="R26" s="199">
        <v>0.5</v>
      </c>
      <c r="S26" s="199">
        <v>0.42</v>
      </c>
      <c r="T26" s="199">
        <v>0.25</v>
      </c>
      <c r="U26" s="199">
        <v>0.65</v>
      </c>
      <c r="V26" s="199">
        <v>0.5</v>
      </c>
      <c r="W26" s="199">
        <v>0.42</v>
      </c>
      <c r="X26" s="199">
        <v>0.25</v>
      </c>
      <c r="Y26" s="283">
        <f>Y25-Y24</f>
        <v>103733</v>
      </c>
    </row>
    <row r="27" spans="1:27" ht="13.5" hidden="1" thickBot="1" x14ac:dyDescent="0.25">
      <c r="A27" s="284">
        <v>0</v>
      </c>
      <c r="B27" s="285">
        <v>7.055831856704522</v>
      </c>
      <c r="C27" s="286" t="s">
        <v>120</v>
      </c>
      <c r="D27" s="287"/>
      <c r="E27" s="288">
        <f t="shared" si="1"/>
        <v>0</v>
      </c>
      <c r="F27" s="289">
        <f t="shared" si="2"/>
        <v>0</v>
      </c>
      <c r="G27" s="290">
        <f t="shared" si="2"/>
        <v>0</v>
      </c>
      <c r="H27" s="291">
        <f t="shared" si="2"/>
        <v>0</v>
      </c>
      <c r="I27" s="292"/>
      <c r="J27" s="289">
        <f t="shared" si="6"/>
        <v>0</v>
      </c>
      <c r="K27" s="290">
        <f t="shared" si="3"/>
        <v>0</v>
      </c>
      <c r="L27" s="290">
        <f t="shared" si="3"/>
        <v>0</v>
      </c>
      <c r="M27" s="293">
        <f t="shared" si="7"/>
        <v>0</v>
      </c>
      <c r="N27" s="292"/>
      <c r="O27" s="294">
        <f t="shared" si="4"/>
        <v>0</v>
      </c>
      <c r="P27" s="295">
        <f t="shared" si="5"/>
        <v>0</v>
      </c>
      <c r="R27" s="199">
        <v>0.5</v>
      </c>
      <c r="S27" s="199">
        <v>0.42</v>
      </c>
      <c r="T27" s="199">
        <v>0.25</v>
      </c>
      <c r="U27" s="199">
        <v>0.65</v>
      </c>
      <c r="V27" s="199">
        <v>0.5</v>
      </c>
      <c r="W27" s="199">
        <v>0.42</v>
      </c>
      <c r="X27" s="199">
        <v>0.25</v>
      </c>
      <c r="Y27" s="22">
        <v>375000</v>
      </c>
    </row>
    <row r="28" spans="1:27" ht="13.5" hidden="1" thickBot="1" x14ac:dyDescent="0.25">
      <c r="A28" s="284">
        <v>0</v>
      </c>
      <c r="B28" s="296">
        <v>0.27690847316032136</v>
      </c>
      <c r="C28" s="297" t="s">
        <v>121</v>
      </c>
      <c r="D28" s="298"/>
      <c r="E28" s="299">
        <f t="shared" si="1"/>
        <v>0</v>
      </c>
      <c r="F28" s="300">
        <f>$E28*R28</f>
        <v>0</v>
      </c>
      <c r="G28" s="300">
        <f>$E28*S28</f>
        <v>0</v>
      </c>
      <c r="H28" s="301">
        <f>$E28*T28</f>
        <v>0</v>
      </c>
      <c r="I28" s="302"/>
      <c r="J28" s="300">
        <f t="shared" si="6"/>
        <v>0</v>
      </c>
      <c r="K28" s="300">
        <f>$J28*V28</f>
        <v>0</v>
      </c>
      <c r="L28" s="300">
        <f>$J28*W28</f>
        <v>0</v>
      </c>
      <c r="M28" s="300">
        <f t="shared" si="7"/>
        <v>0</v>
      </c>
      <c r="N28" s="204"/>
      <c r="O28" s="260">
        <f t="shared" si="4"/>
        <v>0</v>
      </c>
      <c r="P28" s="261">
        <f t="shared" si="5"/>
        <v>0</v>
      </c>
      <c r="R28" s="199">
        <v>0.5</v>
      </c>
      <c r="S28" s="199">
        <v>0.42</v>
      </c>
      <c r="T28" s="199">
        <v>0.25</v>
      </c>
      <c r="U28" s="199">
        <v>0.65</v>
      </c>
      <c r="V28" s="199">
        <v>0.5</v>
      </c>
      <c r="W28" s="199">
        <v>0.42</v>
      </c>
      <c r="X28" s="199">
        <v>0.25</v>
      </c>
      <c r="Y28" s="22">
        <v>40500</v>
      </c>
    </row>
    <row r="29" spans="1:27" ht="13.5" hidden="1" thickBot="1" x14ac:dyDescent="0.25">
      <c r="A29" s="303"/>
      <c r="B29" s="304"/>
      <c r="C29" s="298"/>
      <c r="D29" s="298"/>
      <c r="E29" s="305"/>
      <c r="F29" s="306"/>
      <c r="G29" s="302"/>
      <c r="H29" s="307"/>
      <c r="I29" s="302"/>
      <c r="J29" s="302"/>
      <c r="K29" s="302"/>
      <c r="L29" s="302"/>
      <c r="M29" s="302"/>
      <c r="N29" s="204"/>
      <c r="O29" s="308"/>
      <c r="P29" s="308"/>
      <c r="R29" s="309"/>
      <c r="S29" s="309"/>
      <c r="T29" s="309"/>
      <c r="U29" s="309"/>
      <c r="V29" s="309"/>
      <c r="W29" s="309"/>
      <c r="X29" s="309"/>
    </row>
    <row r="30" spans="1:27" ht="16.5" hidden="1" thickBot="1" x14ac:dyDescent="0.3">
      <c r="A30" s="181"/>
      <c r="B30" s="182"/>
      <c r="C30" s="310" t="s">
        <v>122</v>
      </c>
      <c r="D30" s="311"/>
      <c r="E30" s="312">
        <f>SUM(E11:E28)</f>
        <v>0</v>
      </c>
      <c r="F30" s="313">
        <f>SUM(F11:F28)</f>
        <v>0</v>
      </c>
      <c r="G30" s="314">
        <f>SUM(G11:G28)</f>
        <v>0</v>
      </c>
      <c r="H30" s="315">
        <f>SUM(H11:H28)</f>
        <v>0</v>
      </c>
      <c r="I30" s="196"/>
      <c r="J30" s="316">
        <f>SUM(J11:J28)</f>
        <v>0</v>
      </c>
      <c r="K30" s="314">
        <f>SUM(K11:K28)</f>
        <v>0</v>
      </c>
      <c r="L30" s="316">
        <f>SUM(L11:L28)</f>
        <v>0</v>
      </c>
      <c r="M30" s="314">
        <f>SUM(M11:M28)</f>
        <v>0</v>
      </c>
      <c r="N30" s="197"/>
      <c r="O30" s="317"/>
      <c r="P30" s="317"/>
      <c r="R30" s="180"/>
      <c r="S30" s="180"/>
      <c r="T30" s="180"/>
      <c r="U30" s="309"/>
      <c r="V30" s="180"/>
      <c r="W30" s="180"/>
      <c r="X30" s="180"/>
    </row>
    <row r="31" spans="1:27" ht="16.5" hidden="1" thickBot="1" x14ac:dyDescent="0.3">
      <c r="A31" s="181"/>
      <c r="B31" s="182"/>
      <c r="C31" s="318" t="s">
        <v>123</v>
      </c>
      <c r="D31" s="298"/>
      <c r="E31" s="319">
        <f>E$30*E6</f>
        <v>0</v>
      </c>
      <c r="F31" s="320">
        <f>F$30*F6</f>
        <v>0</v>
      </c>
      <c r="G31" s="321">
        <f>G$30*G6</f>
        <v>0</v>
      </c>
      <c r="H31" s="322">
        <f>H$30*H6</f>
        <v>0</v>
      </c>
      <c r="I31" s="302"/>
      <c r="J31" s="323">
        <f>J$30*J6</f>
        <v>0</v>
      </c>
      <c r="K31" s="321">
        <f>K$30*K6</f>
        <v>0</v>
      </c>
      <c r="L31" s="321">
        <f>L$30*L6</f>
        <v>0</v>
      </c>
      <c r="M31" s="324">
        <f>M$30*M6</f>
        <v>0</v>
      </c>
      <c r="N31" s="302"/>
      <c r="O31" s="325">
        <f>SUM(O11:O28)</f>
        <v>0</v>
      </c>
      <c r="P31" s="325">
        <f>SUM(P11:P28)</f>
        <v>0</v>
      </c>
      <c r="Q31" s="326"/>
      <c r="R31" s="180"/>
      <c r="S31" s="180"/>
      <c r="T31" s="180"/>
      <c r="U31" s="180"/>
      <c r="V31" s="180"/>
      <c r="W31" s="180"/>
      <c r="X31" s="180"/>
      <c r="Z31" s="129" t="s">
        <v>124</v>
      </c>
    </row>
    <row r="32" spans="1:27" ht="13.5" hidden="1" thickBot="1" x14ac:dyDescent="0.25">
      <c r="A32" s="181"/>
      <c r="B32" s="182"/>
      <c r="C32" s="327"/>
      <c r="D32" s="327"/>
      <c r="E32" s="328"/>
      <c r="F32" s="203"/>
      <c r="G32" s="204"/>
      <c r="H32" s="205"/>
      <c r="I32" s="204"/>
      <c r="J32" s="204"/>
      <c r="K32" s="204"/>
      <c r="L32" s="204"/>
      <c r="M32" s="204"/>
      <c r="N32" s="204"/>
      <c r="O32" s="329"/>
      <c r="P32" s="330"/>
      <c r="R32" s="180"/>
      <c r="S32" s="180"/>
      <c r="T32" s="180"/>
      <c r="U32" s="180"/>
      <c r="V32" s="180"/>
      <c r="W32" s="180"/>
      <c r="X32" s="180"/>
      <c r="Z32" s="331">
        <f>P8+P31</f>
        <v>1396667.5</v>
      </c>
      <c r="AA32" s="326">
        <f>E8+E30</f>
        <v>26.23</v>
      </c>
    </row>
    <row r="33" spans="1:27" ht="16.5" hidden="1" thickBot="1" x14ac:dyDescent="0.3">
      <c r="A33" s="181"/>
      <c r="B33" s="182"/>
      <c r="C33" s="332" t="s">
        <v>125</v>
      </c>
      <c r="D33" s="333"/>
      <c r="E33" s="312">
        <f>E9-E30</f>
        <v>4.2699999999999996</v>
      </c>
      <c r="F33" s="313">
        <f>ROUND($E33*R33,2)</f>
        <v>2.14</v>
      </c>
      <c r="G33" s="314">
        <f>ROUND($E33*S33,2)</f>
        <v>1.79</v>
      </c>
      <c r="H33" s="315">
        <f>ROUND($E33*T33,2)</f>
        <v>1.07</v>
      </c>
      <c r="I33" s="196"/>
      <c r="J33" s="316">
        <f>ROUND($E33*U33,2)</f>
        <v>2.78</v>
      </c>
      <c r="K33" s="314">
        <f>ROUND($J33*V33,2)</f>
        <v>1.39</v>
      </c>
      <c r="L33" s="316">
        <f>ROUND($J33*W33,2)</f>
        <v>1.17</v>
      </c>
      <c r="M33" s="314">
        <f>ROUND($J33*X33,2)</f>
        <v>0.7</v>
      </c>
      <c r="N33" s="334"/>
      <c r="O33" s="335"/>
      <c r="P33" s="336"/>
      <c r="R33" s="199">
        <v>0.5</v>
      </c>
      <c r="S33" s="199">
        <v>0.42</v>
      </c>
      <c r="T33" s="199">
        <v>0.25</v>
      </c>
      <c r="U33" s="199">
        <v>0.65</v>
      </c>
      <c r="V33" s="199">
        <v>0.5</v>
      </c>
      <c r="W33" s="199">
        <v>0.42</v>
      </c>
      <c r="X33" s="199">
        <v>0.25</v>
      </c>
    </row>
    <row r="34" spans="1:27" ht="16.5" hidden="1" thickBot="1" x14ac:dyDescent="0.3">
      <c r="A34" s="303"/>
      <c r="B34" s="304"/>
      <c r="C34" s="337" t="s">
        <v>126</v>
      </c>
      <c r="D34" s="338"/>
      <c r="E34" s="339">
        <f t="shared" ref="E34:M34" si="8">E$33*E$6</f>
        <v>107390.49999999999</v>
      </c>
      <c r="F34" s="339">
        <f t="shared" si="8"/>
        <v>428</v>
      </c>
      <c r="G34" s="339">
        <f t="shared" si="8"/>
        <v>1834.75</v>
      </c>
      <c r="H34" s="339">
        <f t="shared" si="8"/>
        <v>0</v>
      </c>
      <c r="I34" s="305">
        <f t="shared" si="8"/>
        <v>0</v>
      </c>
      <c r="J34" s="339">
        <f t="shared" si="8"/>
        <v>4726</v>
      </c>
      <c r="K34" s="339">
        <f t="shared" si="8"/>
        <v>69.5</v>
      </c>
      <c r="L34" s="339">
        <f t="shared" si="8"/>
        <v>3276</v>
      </c>
      <c r="M34" s="339">
        <f t="shared" si="8"/>
        <v>0</v>
      </c>
      <c r="N34" s="340"/>
      <c r="O34" s="341">
        <f>O9-O31</f>
        <v>117724.74999999999</v>
      </c>
      <c r="P34" s="342">
        <f>P9-P31</f>
        <v>227377.99999999997</v>
      </c>
      <c r="R34" s="180"/>
      <c r="S34" s="180"/>
      <c r="T34" s="180"/>
      <c r="U34" s="180"/>
      <c r="V34" s="180"/>
      <c r="W34" s="180"/>
      <c r="X34" s="180"/>
      <c r="Z34" s="129" t="s">
        <v>127</v>
      </c>
    </row>
    <row r="35" spans="1:27" x14ac:dyDescent="0.2">
      <c r="A35" s="343"/>
      <c r="B35" s="343"/>
      <c r="C35" s="344"/>
      <c r="D35" s="344"/>
      <c r="E35" s="344"/>
      <c r="F35" s="344"/>
      <c r="G35" s="344"/>
      <c r="H35" s="344"/>
      <c r="I35" s="344"/>
      <c r="J35" s="344"/>
      <c r="K35" s="344"/>
      <c r="L35" s="344"/>
      <c r="M35" s="344"/>
      <c r="N35" s="344"/>
      <c r="O35" s="344"/>
      <c r="P35" s="344"/>
      <c r="Z35" s="331">
        <f>P8+P34</f>
        <v>1624045.5</v>
      </c>
      <c r="AA35" s="326">
        <f>E8+E33</f>
        <v>30.5</v>
      </c>
    </row>
    <row r="36" spans="1:27" x14ac:dyDescent="0.2">
      <c r="C36" s="345"/>
      <c r="E36" s="346">
        <f>E31+E34</f>
        <v>107390.49999999999</v>
      </c>
      <c r="F36" s="346">
        <f>F31+F34</f>
        <v>428</v>
      </c>
      <c r="G36" s="346">
        <f>G31+G34</f>
        <v>1834.75</v>
      </c>
      <c r="H36" s="346">
        <f>H31+H34</f>
        <v>0</v>
      </c>
      <c r="I36" s="346"/>
      <c r="J36" s="346">
        <f>J31+J34</f>
        <v>4726</v>
      </c>
      <c r="K36" s="346">
        <f>K31+K34</f>
        <v>69.5</v>
      </c>
      <c r="L36" s="346">
        <f>L31+L34</f>
        <v>3276</v>
      </c>
      <c r="M36" s="346">
        <f>M31+M34</f>
        <v>0</v>
      </c>
    </row>
    <row r="38" spans="1:27" x14ac:dyDescent="0.2">
      <c r="C38" s="347"/>
      <c r="E38" s="326">
        <f>+E8+E9</f>
        <v>30.5</v>
      </c>
      <c r="P38" s="331">
        <f>+P8+P9</f>
        <v>1624045.5</v>
      </c>
    </row>
    <row r="40" spans="1:27" x14ac:dyDescent="0.2">
      <c r="O40" s="22">
        <v>700000</v>
      </c>
      <c r="P40" s="22">
        <v>2071313</v>
      </c>
    </row>
    <row r="41" spans="1:27" x14ac:dyDescent="0.2">
      <c r="O41" s="22">
        <v>500000</v>
      </c>
      <c r="P41" s="22">
        <v>1871313</v>
      </c>
    </row>
    <row r="42" spans="1:27" x14ac:dyDescent="0.2">
      <c r="O42" s="22">
        <v>350000</v>
      </c>
      <c r="P42" s="22">
        <v>1721313</v>
      </c>
    </row>
    <row r="43" spans="1:27" x14ac:dyDescent="0.2">
      <c r="O43" s="22"/>
      <c r="P43" s="22"/>
    </row>
    <row r="44" spans="1:27" x14ac:dyDescent="0.2">
      <c r="P44" s="22"/>
    </row>
  </sheetData>
  <mergeCells count="5">
    <mergeCell ref="C1:X1"/>
    <mergeCell ref="C2:X2"/>
    <mergeCell ref="C3:X3"/>
    <mergeCell ref="E4:M4"/>
    <mergeCell ref="R4:X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SFRB</vt:lpstr>
      <vt:lpstr>STUDENT FEE CALCULATION</vt:lpstr>
      <vt:lpstr>Sheet1</vt:lpstr>
      <vt:lpstr>SFRB!Print_Area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Grube,Brian</cp:lastModifiedBy>
  <cp:lastPrinted>2018-02-13T00:07:51Z</cp:lastPrinted>
  <dcterms:created xsi:type="dcterms:W3CDTF">1996-10-14T23:33:28Z</dcterms:created>
  <dcterms:modified xsi:type="dcterms:W3CDTF">2018-03-27T00:05:58Z</dcterms:modified>
</cp:coreProperties>
</file>